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harts/chart1.xml" ContentType="application/vnd.openxmlformats-officedocument.drawingml.chart+xml"/>
  <Override PartName="/xl/drawings/drawing16.xml" ContentType="application/vnd.openxmlformats-officedocument.drawingml.chartshapes+xml"/>
  <Override PartName="/xl/charts/chart2.xml" ContentType="application/vnd.openxmlformats-officedocument.drawingml.chart+xml"/>
  <Override PartName="/xl/drawings/drawing17.xml" ContentType="application/vnd.openxmlformats-officedocument.drawingml.chartshapes+xml"/>
  <Override PartName="/xl/charts/chart3.xml" ContentType="application/vnd.openxmlformats-officedocument.drawingml.chart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2"/>
  <workbookPr/>
  <mc:AlternateContent xmlns:mc="http://schemas.openxmlformats.org/markup-compatibility/2006">
    <mc:Choice Requires="x15">
      <x15ac:absPath xmlns:x15ac="http://schemas.microsoft.com/office/spreadsheetml/2010/11/ac" url="https://patagonianorte-my.sharepoint.com/personal/falcarraz_patagonia-norte_com_ar/Documents/Documentos/Archivos Laburo Administ/Pesca/Estad/"/>
    </mc:Choice>
  </mc:AlternateContent>
  <xr:revisionPtr revIDLastSave="0" documentId="8_{A9334448-F16D-4A81-803C-81D3B661CB02}" xr6:coauthVersionLast="47" xr6:coauthVersionMax="47" xr10:uidLastSave="{00000000-0000-0000-0000-000000000000}"/>
  <bookViews>
    <workbookView xWindow="-120" yWindow="-120" windowWidth="29040" windowHeight="15840" tabRatio="735" firstSheet="13" activeTab="13" xr2:uid="{00000000-000D-0000-FFFF-FFFF00000000}"/>
  </bookViews>
  <sheets>
    <sheet name="CARÁTULA" sheetId="18" r:id="rId1"/>
    <sheet name="ENE 2021" sheetId="4" r:id="rId2"/>
    <sheet name="FEB 2021" sheetId="16" r:id="rId3"/>
    <sheet name="MAR 2021" sheetId="15" r:id="rId4"/>
    <sheet name="ABR 2021" sheetId="14" r:id="rId5"/>
    <sheet name="MAY 2021" sheetId="13" r:id="rId6"/>
    <sheet name="JUN 2021" sheetId="12" r:id="rId7"/>
    <sheet name="1º SEMESTRE" sheetId="11" r:id="rId8"/>
    <sheet name="JUL 2021" sheetId="10" r:id="rId9"/>
    <sheet name="AGO 2021" sheetId="9" r:id="rId10"/>
    <sheet name="SEP 2021" sheetId="8" r:id="rId11"/>
    <sheet name="OCT 2021" sheetId="7" r:id="rId12"/>
    <sheet name="NOV 2021" sheetId="22" r:id="rId13"/>
    <sheet name="DIC 2021" sheetId="19" r:id="rId14"/>
    <sheet name="Comparativo 95-2021" sheetId="20" r:id="rId15"/>
    <sheet name="Movimiento por buque (borrador)" sheetId="21" r:id="rId16"/>
  </sheets>
  <definedNames>
    <definedName name="_xlnm._FilterDatabase" localSheetId="1" hidden="1">'ENE 2021'!$A$1:$J$84</definedName>
    <definedName name="_xlnm._FilterDatabase" localSheetId="2" hidden="1">'FEB 2021'!$A$1:$J$89</definedName>
    <definedName name="_xlnm._FilterDatabase" localSheetId="10" hidden="1">'SEP 2021'!$B$1:$B$96</definedName>
    <definedName name="_xlnm.Print_Area" localSheetId="4">'ABR 2021'!$A$1:$J$75</definedName>
    <definedName name="_xlnm.Print_Area" localSheetId="9">'AGO 2021'!$A$1:$J$66</definedName>
    <definedName name="_xlnm.Print_Area" localSheetId="14">'Comparativo 95-2021'!$A$1:$AZ$184</definedName>
    <definedName name="_xlnm.Print_Area" localSheetId="13">'DIC 2021'!$A$1:$J$89</definedName>
    <definedName name="_xlnm.Print_Area" localSheetId="1">'ENE 2021'!$A$1:$J$77</definedName>
    <definedName name="_xlnm.Print_Area" localSheetId="2">'FEB 2021'!$A$1:$J$83</definedName>
    <definedName name="_xlnm.Print_Area" localSheetId="8">'JUL 2021'!$A$1:$J$74</definedName>
    <definedName name="_xlnm.Print_Area" localSheetId="6">'JUN 2021'!$A$1:$J$72</definedName>
    <definedName name="_xlnm.Print_Area" localSheetId="3">'MAR 2021'!$A$1:$J$75</definedName>
    <definedName name="_xlnm.Print_Area" localSheetId="5">'MAY 2021'!$A$1:$J$78</definedName>
    <definedName name="_xlnm.Print_Area" localSheetId="15">'Movimiento por buque (borrador)'!$A$1:$O$59</definedName>
    <definedName name="_xlnm.Print_Area" localSheetId="12">'NOV 2021'!$A$1:$J$85</definedName>
    <definedName name="_xlnm.Print_Area" localSheetId="11">'OCT 2021'!$A$1:$J$87</definedName>
    <definedName name="_xlnm.Print_Area" localSheetId="10">'SEP 2021'!$A$1:$J$91</definedName>
    <definedName name="_xlnm.Print_Titles" localSheetId="14">'Comparativo 95-2021'!$1:$8</definedName>
    <definedName name="_xlnm.Print_Titles" localSheetId="8">'JUL 2021'!$1:$7</definedName>
    <definedName name="_xlnm.Print_Titles" localSheetId="11">'OCT 2021'!$1:$9</definedName>
    <definedName name="_xlnm.Print_Titles" localSheetId="10">'SEP 2021'!$1:$9</definedName>
  </definedNames>
  <calcPr calcId="191028" calcCompleted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5" i="19" l="1"/>
  <c r="E49" i="19"/>
  <c r="E47" i="19"/>
  <c r="H78" i="19"/>
  <c r="H77" i="19"/>
  <c r="H76" i="19"/>
  <c r="H75" i="22"/>
  <c r="H75" i="19"/>
  <c r="H74" i="19"/>
  <c r="H73" i="22"/>
  <c r="H73" i="19"/>
  <c r="E46" i="22"/>
  <c r="E47" i="22"/>
  <c r="E50" i="22"/>
  <c r="F48" i="22"/>
  <c r="H76" i="22"/>
  <c r="H74" i="22"/>
  <c r="H72" i="22"/>
  <c r="H71" i="22"/>
  <c r="H70" i="22"/>
  <c r="H69" i="22"/>
  <c r="G76" i="22"/>
  <c r="G75" i="22"/>
  <c r="G74" i="22"/>
  <c r="G73" i="22"/>
  <c r="G72" i="22"/>
  <c r="G71" i="22"/>
  <c r="G70" i="22"/>
  <c r="G69" i="22"/>
  <c r="G68" i="22"/>
  <c r="F55" i="7"/>
  <c r="E46" i="7"/>
  <c r="E45" i="7"/>
  <c r="F55" i="14"/>
  <c r="H77" i="7"/>
  <c r="H76" i="7"/>
  <c r="H75" i="7"/>
  <c r="H78" i="8"/>
  <c r="H74" i="7"/>
  <c r="E50" i="8"/>
  <c r="E49" i="8"/>
  <c r="E52" i="8"/>
  <c r="E51" i="8"/>
  <c r="E39" i="9"/>
  <c r="E36" i="9"/>
  <c r="E38" i="9"/>
  <c r="E37" i="9"/>
  <c r="G47" i="10"/>
  <c r="E40" i="10"/>
  <c r="E39" i="10"/>
  <c r="E39" i="12"/>
  <c r="E47" i="13"/>
  <c r="E49" i="13"/>
  <c r="E45" i="14"/>
  <c r="E46" i="14"/>
  <c r="E49" i="15"/>
  <c r="E48" i="15"/>
  <c r="E47" i="15"/>
  <c r="E46" i="15"/>
  <c r="E55" i="16"/>
  <c r="E52" i="16"/>
  <c r="C29" i="21"/>
  <c r="AX15" i="20"/>
  <c r="AV28" i="20"/>
  <c r="C14" i="21"/>
  <c r="AW15" i="20"/>
  <c r="AW14" i="20"/>
  <c r="AX14" i="20"/>
  <c r="AU26" i="20"/>
  <c r="E78" i="19"/>
  <c r="AU25" i="20" s="1"/>
  <c r="E76" i="22"/>
  <c r="E77" i="19"/>
  <c r="AU24" i="20" s="1"/>
  <c r="E77" i="7"/>
  <c r="E75" i="22"/>
  <c r="E76" i="19"/>
  <c r="AU23" i="20" s="1"/>
  <c r="E79" i="8"/>
  <c r="E76" i="7" s="1"/>
  <c r="E74" i="22" s="1"/>
  <c r="E75" i="19" s="1"/>
  <c r="AU22" i="20" s="1"/>
  <c r="E58" i="9"/>
  <c r="E78" i="8" s="1"/>
  <c r="E75" i="7" s="1"/>
  <c r="E73" i="22" s="1"/>
  <c r="E74" i="19" s="1"/>
  <c r="AU21" i="20" s="1"/>
  <c r="E63" i="10"/>
  <c r="E57" i="9"/>
  <c r="E77" i="8"/>
  <c r="E74" i="7"/>
  <c r="E72" i="22"/>
  <c r="E73" i="19" s="1"/>
  <c r="AU19" i="20" s="1"/>
  <c r="AY19" i="20" s="1"/>
  <c r="E62" i="10"/>
  <c r="E56" i="9"/>
  <c r="E76" i="8"/>
  <c r="E73" i="7"/>
  <c r="E71" i="22"/>
  <c r="E72" i="19"/>
  <c r="AU18" i="20" s="1"/>
  <c r="AY18" i="20" s="1"/>
  <c r="E61" i="10"/>
  <c r="E55" i="9"/>
  <c r="E75" i="8"/>
  <c r="E72" i="7"/>
  <c r="E70" i="22"/>
  <c r="E71" i="19" s="1"/>
  <c r="AU17" i="20" s="1"/>
  <c r="AY17" i="20" s="1"/>
  <c r="E60" i="10"/>
  <c r="E54" i="9"/>
  <c r="E74" i="8"/>
  <c r="E71" i="7"/>
  <c r="E69" i="22"/>
  <c r="E70" i="19" s="1"/>
  <c r="AU16" i="20" s="1"/>
  <c r="AY16" i="20" s="1"/>
  <c r="C21" i="11"/>
  <c r="C20" i="11"/>
  <c r="C19" i="11"/>
  <c r="C18" i="11"/>
  <c r="C17" i="11"/>
  <c r="C16" i="11"/>
  <c r="E16" i="11"/>
  <c r="E17" i="11"/>
  <c r="E18" i="11"/>
  <c r="E19" i="11"/>
  <c r="E20" i="11"/>
  <c r="E21" i="11"/>
  <c r="E23" i="11"/>
  <c r="E62" i="12"/>
  <c r="E61" i="12"/>
  <c r="E60" i="12"/>
  <c r="E59" i="12"/>
  <c r="E59" i="10"/>
  <c r="E53" i="9"/>
  <c r="E73" i="8"/>
  <c r="E70" i="7"/>
  <c r="E68" i="22"/>
  <c r="E69" i="19" s="1"/>
  <c r="E67" i="13"/>
  <c r="E66" i="13"/>
  <c r="E65" i="13"/>
  <c r="E65" i="14"/>
  <c r="E64" i="14"/>
  <c r="E63" i="14"/>
  <c r="E64" i="13"/>
  <c r="E58" i="12"/>
  <c r="E65" i="15"/>
  <c r="E72" i="16"/>
  <c r="E64" i="15"/>
  <c r="F72" i="16"/>
  <c r="E53" i="8"/>
  <c r="G50" i="8" s="1"/>
  <c r="F30" i="9"/>
  <c r="G32" i="9" s="1"/>
  <c r="F46" i="16"/>
  <c r="D18" i="21"/>
  <c r="C30" i="21"/>
  <c r="AV30" i="20"/>
  <c r="H73" i="20"/>
  <c r="F41" i="15"/>
  <c r="G48" i="15"/>
  <c r="F55" i="15"/>
  <c r="AT28" i="20"/>
  <c r="AT30" i="20"/>
  <c r="J7" i="19"/>
  <c r="J7" i="22"/>
  <c r="J7" i="7"/>
  <c r="J7" i="8"/>
  <c r="J7" i="9"/>
  <c r="J7" i="10"/>
  <c r="J7" i="12"/>
  <c r="J7" i="13"/>
  <c r="J7" i="14"/>
  <c r="J7" i="15"/>
  <c r="J7" i="16"/>
  <c r="J7" i="4"/>
  <c r="N10" i="21"/>
  <c r="C6" i="21"/>
  <c r="C7" i="21"/>
  <c r="C28" i="21" s="1"/>
  <c r="C8" i="21"/>
  <c r="C9" i="21"/>
  <c r="C10" i="21"/>
  <c r="C11" i="21"/>
  <c r="C17" i="21"/>
  <c r="C20" i="21"/>
  <c r="C27" i="21" s="1"/>
  <c r="C21" i="21"/>
  <c r="C14" i="20"/>
  <c r="E14" i="20"/>
  <c r="G14" i="20"/>
  <c r="I14" i="20"/>
  <c r="C15" i="20"/>
  <c r="E15" i="20"/>
  <c r="G15" i="20"/>
  <c r="I15" i="20"/>
  <c r="C16" i="20"/>
  <c r="E16" i="20"/>
  <c r="G16" i="20"/>
  <c r="I16" i="20"/>
  <c r="C17" i="20"/>
  <c r="E17" i="20"/>
  <c r="G17" i="20"/>
  <c r="I17" i="20"/>
  <c r="C18" i="20"/>
  <c r="E18" i="20"/>
  <c r="G18" i="20"/>
  <c r="I18" i="20"/>
  <c r="C19" i="20"/>
  <c r="E19" i="20"/>
  <c r="G19" i="20"/>
  <c r="I19" i="20"/>
  <c r="C20" i="20"/>
  <c r="D20" i="20"/>
  <c r="F20" i="20"/>
  <c r="H20" i="20"/>
  <c r="J20" i="20"/>
  <c r="K20" i="20"/>
  <c r="L20" i="20"/>
  <c r="M20" i="20"/>
  <c r="N20" i="20"/>
  <c r="O20" i="20"/>
  <c r="P20" i="20"/>
  <c r="S20" i="20"/>
  <c r="T20" i="20"/>
  <c r="U20" i="20"/>
  <c r="V20" i="20"/>
  <c r="W20" i="20"/>
  <c r="X20" i="20"/>
  <c r="Y20" i="20"/>
  <c r="Z20" i="20"/>
  <c r="AA20" i="20"/>
  <c r="AB20" i="20"/>
  <c r="AF20" i="20"/>
  <c r="AG20" i="20"/>
  <c r="AH20" i="20"/>
  <c r="AI20" i="20"/>
  <c r="AK20" i="20"/>
  <c r="AL20" i="20"/>
  <c r="C21" i="20"/>
  <c r="E21" i="20"/>
  <c r="G21" i="20"/>
  <c r="I21" i="20"/>
  <c r="C22" i="20"/>
  <c r="E22" i="20"/>
  <c r="G22" i="20"/>
  <c r="I22" i="20"/>
  <c r="C23" i="20"/>
  <c r="E23" i="20"/>
  <c r="G23" i="20"/>
  <c r="I23" i="20"/>
  <c r="C24" i="20"/>
  <c r="E24" i="20"/>
  <c r="G24" i="20"/>
  <c r="I24" i="20"/>
  <c r="C25" i="20"/>
  <c r="E25" i="20"/>
  <c r="G25" i="20"/>
  <c r="I25" i="20"/>
  <c r="C26" i="20"/>
  <c r="E26" i="20"/>
  <c r="E28" i="20"/>
  <c r="C33" i="20"/>
  <c r="G26" i="20"/>
  <c r="I26" i="20"/>
  <c r="I28" i="20"/>
  <c r="C35" i="20"/>
  <c r="K26" i="20"/>
  <c r="K28" i="20"/>
  <c r="C36" i="20"/>
  <c r="L26" i="20"/>
  <c r="L28" i="20"/>
  <c r="D28" i="20"/>
  <c r="F28" i="20"/>
  <c r="H28" i="20"/>
  <c r="J28" i="20"/>
  <c r="M28" i="20"/>
  <c r="C37" i="20"/>
  <c r="N28" i="20"/>
  <c r="O28" i="20"/>
  <c r="C38" i="20"/>
  <c r="P28" i="20"/>
  <c r="Q28" i="20"/>
  <c r="C39" i="20"/>
  <c r="R28" i="20"/>
  <c r="R30" i="20"/>
  <c r="S28" i="20"/>
  <c r="C40" i="20"/>
  <c r="T28" i="20"/>
  <c r="T30" i="20"/>
  <c r="U28" i="20"/>
  <c r="C41" i="20"/>
  <c r="V28" i="20"/>
  <c r="V30" i="20"/>
  <c r="W28" i="20"/>
  <c r="C42" i="20"/>
  <c r="X28" i="20"/>
  <c r="X30" i="20"/>
  <c r="Y28" i="20"/>
  <c r="Z28" i="20"/>
  <c r="AA28" i="20"/>
  <c r="C44" i="20"/>
  <c r="AB28" i="20"/>
  <c r="AB30" i="20"/>
  <c r="AE28" i="20"/>
  <c r="AF28" i="20"/>
  <c r="AF30" i="20"/>
  <c r="AG28" i="20"/>
  <c r="C47" i="20"/>
  <c r="AH28" i="20"/>
  <c r="AH30" i="20"/>
  <c r="AI28" i="20"/>
  <c r="C48" i="20"/>
  <c r="AJ28" i="20"/>
  <c r="AJ30" i="20"/>
  <c r="AK28" i="20"/>
  <c r="C49" i="20"/>
  <c r="AL28" i="20"/>
  <c r="AL30" i="20"/>
  <c r="AM28" i="20"/>
  <c r="C156" i="20"/>
  <c r="AN28" i="20"/>
  <c r="AN30" i="20"/>
  <c r="AO28" i="20"/>
  <c r="AP28" i="20"/>
  <c r="AP30" i="20"/>
  <c r="AR28" i="20"/>
  <c r="AR30" i="20"/>
  <c r="Z30" i="20"/>
  <c r="B32" i="20"/>
  <c r="B33" i="20"/>
  <c r="B34" i="20"/>
  <c r="B35" i="20"/>
  <c r="B36" i="20"/>
  <c r="B37" i="20"/>
  <c r="B38" i="20"/>
  <c r="B39" i="20"/>
  <c r="B40" i="20"/>
  <c r="B41" i="20"/>
  <c r="C45" i="20"/>
  <c r="C46" i="20"/>
  <c r="G72" i="20"/>
  <c r="Q72" i="20"/>
  <c r="G73" i="20"/>
  <c r="K73" i="20"/>
  <c r="G74" i="20"/>
  <c r="K74" i="20"/>
  <c r="G75" i="20"/>
  <c r="K75" i="20"/>
  <c r="G76" i="20"/>
  <c r="K76" i="20"/>
  <c r="G77" i="20"/>
  <c r="K77" i="20"/>
  <c r="G78" i="20"/>
  <c r="K78" i="20"/>
  <c r="G79" i="20"/>
  <c r="K79" i="20"/>
  <c r="G80" i="20"/>
  <c r="K80" i="20"/>
  <c r="G81" i="20"/>
  <c r="K81" i="20"/>
  <c r="G82" i="20"/>
  <c r="Q82" i="20" s="1"/>
  <c r="Q83" i="20" s="1"/>
  <c r="Q85" i="20" s="1"/>
  <c r="G83" i="20"/>
  <c r="C85" i="20"/>
  <c r="D85" i="20"/>
  <c r="E85" i="20"/>
  <c r="F85" i="20"/>
  <c r="I85" i="20"/>
  <c r="J85" i="20"/>
  <c r="B147" i="20"/>
  <c r="B148" i="20"/>
  <c r="C151" i="20"/>
  <c r="C154" i="20"/>
  <c r="C155" i="20"/>
  <c r="F39" i="19"/>
  <c r="F56" i="19" s="1"/>
  <c r="H50" i="19"/>
  <c r="H79" i="19" s="1"/>
  <c r="AX26" i="20" s="1"/>
  <c r="F81" i="19"/>
  <c r="F39" i="22"/>
  <c r="M14" i="21" s="1"/>
  <c r="M31" i="21" s="1"/>
  <c r="E51" i="22"/>
  <c r="G45" i="22" s="1"/>
  <c r="H51" i="22"/>
  <c r="H77" i="22" s="1"/>
  <c r="F79" i="22"/>
  <c r="F37" i="7"/>
  <c r="L21" i="21" s="1"/>
  <c r="E49" i="7"/>
  <c r="G45" i="7" s="1"/>
  <c r="H49" i="7"/>
  <c r="H78" i="7" s="1"/>
  <c r="AX24" i="20" s="1"/>
  <c r="F80" i="7"/>
  <c r="F41" i="8"/>
  <c r="F59" i="8" s="1"/>
  <c r="H53" i="8"/>
  <c r="H80" i="8" s="1"/>
  <c r="AX23" i="20" s="1"/>
  <c r="F82" i="8"/>
  <c r="H40" i="9"/>
  <c r="H79" i="8" s="1"/>
  <c r="F61" i="9"/>
  <c r="F31" i="10"/>
  <c r="H78" i="20"/>
  <c r="L78" i="20"/>
  <c r="E42" i="10"/>
  <c r="G41" i="10"/>
  <c r="H42" i="10"/>
  <c r="H64" i="10"/>
  <c r="F66" i="10"/>
  <c r="F16" i="11"/>
  <c r="F17" i="11"/>
  <c r="F18" i="11"/>
  <c r="F19" i="11"/>
  <c r="F20" i="11"/>
  <c r="F21" i="11"/>
  <c r="F23" i="11"/>
  <c r="C23" i="11"/>
  <c r="D23" i="11"/>
  <c r="D40" i="11"/>
  <c r="F40" i="11"/>
  <c r="J40" i="11"/>
  <c r="D41" i="11"/>
  <c r="F41" i="11"/>
  <c r="J41" i="11" s="1"/>
  <c r="D42" i="11"/>
  <c r="D43" i="11"/>
  <c r="D44" i="11"/>
  <c r="D45" i="11"/>
  <c r="F31" i="12"/>
  <c r="G48" i="12"/>
  <c r="E42" i="12"/>
  <c r="G39" i="12"/>
  <c r="G38" i="12"/>
  <c r="H42" i="12"/>
  <c r="H63" i="10"/>
  <c r="F65" i="12"/>
  <c r="F42" i="13"/>
  <c r="G18" i="21"/>
  <c r="E52" i="13"/>
  <c r="G48" i="13"/>
  <c r="H52" i="13"/>
  <c r="H68" i="13"/>
  <c r="F70" i="13"/>
  <c r="F39" i="14"/>
  <c r="H50" i="14"/>
  <c r="H72" i="7"/>
  <c r="F68" i="14"/>
  <c r="G50" i="15"/>
  <c r="H51" i="15"/>
  <c r="H60" i="10"/>
  <c r="E68" i="15"/>
  <c r="F68" i="15"/>
  <c r="E57" i="16"/>
  <c r="G56" i="16"/>
  <c r="H57" i="16"/>
  <c r="H70" i="7"/>
  <c r="F64" i="16"/>
  <c r="E75" i="16"/>
  <c r="F75" i="16"/>
  <c r="F44" i="4"/>
  <c r="H72" i="20"/>
  <c r="E55" i="4"/>
  <c r="H55" i="4"/>
  <c r="H58" i="12"/>
  <c r="F61" i="4"/>
  <c r="H60" i="4"/>
  <c r="E70" i="4"/>
  <c r="F70" i="4"/>
  <c r="G43" i="15"/>
  <c r="G60" i="12"/>
  <c r="E16" i="21"/>
  <c r="E12" i="21"/>
  <c r="E18" i="21"/>
  <c r="E14" i="21"/>
  <c r="E31" i="21" s="1"/>
  <c r="E9" i="21"/>
  <c r="E7" i="21"/>
  <c r="E28" i="21" s="1"/>
  <c r="D20" i="21"/>
  <c r="D27" i="21" s="1"/>
  <c r="D10" i="21"/>
  <c r="D21" i="21"/>
  <c r="D13" i="21"/>
  <c r="D30" i="21" s="1"/>
  <c r="D7" i="21"/>
  <c r="D28" i="21" s="1"/>
  <c r="AQ28" i="20"/>
  <c r="C158" i="20"/>
  <c r="H70" i="4"/>
  <c r="H59" i="4"/>
  <c r="H61" i="4"/>
  <c r="G52" i="8"/>
  <c r="G51" i="13"/>
  <c r="G49" i="13"/>
  <c r="G47" i="13"/>
  <c r="G50" i="13"/>
  <c r="H56" i="9"/>
  <c r="H62" i="12"/>
  <c r="H76" i="8"/>
  <c r="H71" i="19"/>
  <c r="H67" i="13"/>
  <c r="H19" i="11"/>
  <c r="H61" i="10"/>
  <c r="H70" i="19"/>
  <c r="M19" i="21"/>
  <c r="M10" i="21"/>
  <c r="M15" i="21"/>
  <c r="M20" i="21"/>
  <c r="M27" i="21" s="1"/>
  <c r="M18" i="21"/>
  <c r="G53" i="4"/>
  <c r="H64" i="15"/>
  <c r="H62" i="16"/>
  <c r="H63" i="16"/>
  <c r="H64" i="16" s="1"/>
  <c r="H14" i="21"/>
  <c r="H31" i="21" s="1"/>
  <c r="M5" i="21"/>
  <c r="H13" i="21"/>
  <c r="H30" i="21" s="1"/>
  <c r="H16" i="21"/>
  <c r="H12" i="21"/>
  <c r="H9" i="21"/>
  <c r="G50" i="4"/>
  <c r="C22" i="21"/>
  <c r="L73" i="20"/>
  <c r="G54" i="9"/>
  <c r="AS28" i="20"/>
  <c r="C53" i="20"/>
  <c r="H15" i="21"/>
  <c r="H18" i="21"/>
  <c r="H8" i="21"/>
  <c r="H7" i="21"/>
  <c r="H28" i="21" s="1"/>
  <c r="H11" i="21"/>
  <c r="H20" i="21"/>
  <c r="H6" i="21"/>
  <c r="H10" i="21"/>
  <c r="H17" i="21"/>
  <c r="G33" i="12"/>
  <c r="G74" i="7"/>
  <c r="H5" i="21"/>
  <c r="H79" i="20"/>
  <c r="L79" i="20" s="1"/>
  <c r="G85" i="20"/>
  <c r="K85" i="20" s="1"/>
  <c r="K72" i="20"/>
  <c r="M22" i="21"/>
  <c r="G41" i="22"/>
  <c r="G77" i="22" s="1"/>
  <c r="AW25" i="20" s="1"/>
  <c r="M7" i="21"/>
  <c r="M28" i="21" s="1"/>
  <c r="L7" i="21"/>
  <c r="L28" i="21" s="1"/>
  <c r="L6" i="21"/>
  <c r="L12" i="21"/>
  <c r="M11" i="21"/>
  <c r="L17" i="21"/>
  <c r="K21" i="21"/>
  <c r="G33" i="10"/>
  <c r="G78" i="8"/>
  <c r="H76" i="20"/>
  <c r="L76" i="20"/>
  <c r="G15" i="21"/>
  <c r="G5" i="21"/>
  <c r="G8" i="21"/>
  <c r="G17" i="21"/>
  <c r="G7" i="21"/>
  <c r="G28" i="21" s="1"/>
  <c r="G11" i="21"/>
  <c r="H75" i="8"/>
  <c r="G41" i="14"/>
  <c r="G75" i="8"/>
  <c r="F56" i="14"/>
  <c r="H54" i="14" s="1"/>
  <c r="G66" i="15"/>
  <c r="AW16" i="20"/>
  <c r="G66" i="13"/>
  <c r="E6" i="21"/>
  <c r="E10" i="21"/>
  <c r="E17" i="21"/>
  <c r="E21" i="21"/>
  <c r="G70" i="19"/>
  <c r="E5" i="21"/>
  <c r="G18" i="11"/>
  <c r="G60" i="10"/>
  <c r="E8" i="21"/>
  <c r="E13" i="21"/>
  <c r="E30" i="21" s="1"/>
  <c r="E19" i="21"/>
  <c r="E15" i="21"/>
  <c r="D9" i="21"/>
  <c r="D22" i="21"/>
  <c r="D14" i="21"/>
  <c r="G48" i="16"/>
  <c r="G65" i="13"/>
  <c r="D11" i="21"/>
  <c r="D17" i="21"/>
  <c r="D6" i="21"/>
  <c r="D15" i="21"/>
  <c r="D5" i="21"/>
  <c r="D12" i="21"/>
  <c r="D19" i="21"/>
  <c r="D29" i="21" s="1"/>
  <c r="D8" i="21"/>
  <c r="C51" i="20"/>
  <c r="C157" i="20"/>
  <c r="G71" i="19"/>
  <c r="H59" i="9"/>
  <c r="AX22" i="20" s="1"/>
  <c r="H72" i="8"/>
  <c r="G70" i="4"/>
  <c r="G51" i="4"/>
  <c r="H68" i="19"/>
  <c r="H16" i="11"/>
  <c r="H63" i="14"/>
  <c r="H58" i="10"/>
  <c r="G57" i="9"/>
  <c r="G63" i="12"/>
  <c r="AW19" i="20"/>
  <c r="G63" i="10"/>
  <c r="G19" i="11"/>
  <c r="H72" i="16"/>
  <c r="H75" i="16"/>
  <c r="H52" i="9"/>
  <c r="G21" i="21"/>
  <c r="G20" i="21"/>
  <c r="G16" i="21"/>
  <c r="G10" i="21"/>
  <c r="G6" i="21"/>
  <c r="G22" i="21"/>
  <c r="G19" i="21"/>
  <c r="G13" i="21"/>
  <c r="G30" i="21" s="1"/>
  <c r="G9" i="21"/>
  <c r="G44" i="13"/>
  <c r="F56" i="13"/>
  <c r="L5" i="21"/>
  <c r="L20" i="21"/>
  <c r="L10" i="21"/>
  <c r="G39" i="7"/>
  <c r="G78" i="7" s="1"/>
  <c r="AW24" i="20" s="1"/>
  <c r="L15" i="21"/>
  <c r="L11" i="21"/>
  <c r="L18" i="21"/>
  <c r="L8" i="21"/>
  <c r="L13" i="21"/>
  <c r="L30" i="21" s="1"/>
  <c r="L9" i="21"/>
  <c r="G46" i="15"/>
  <c r="C43" i="20"/>
  <c r="C149" i="20"/>
  <c r="G21" i="11"/>
  <c r="G77" i="8"/>
  <c r="G72" i="7"/>
  <c r="G78" i="19"/>
  <c r="C52" i="20"/>
  <c r="G64" i="14"/>
  <c r="G75" i="7"/>
  <c r="H65" i="15"/>
  <c r="H72" i="19"/>
  <c r="H20" i="11"/>
  <c r="H62" i="10"/>
  <c r="M13" i="21"/>
  <c r="M30" i="21" s="1"/>
  <c r="M16" i="21"/>
  <c r="M6" i="21"/>
  <c r="M12" i="21"/>
  <c r="M17" i="21"/>
  <c r="G51" i="8"/>
  <c r="G64" i="10"/>
  <c r="AW21" i="20"/>
  <c r="G55" i="9"/>
  <c r="G61" i="12"/>
  <c r="G17" i="11"/>
  <c r="G77" i="19"/>
  <c r="J16" i="11"/>
  <c r="G62" i="12"/>
  <c r="G72" i="19"/>
  <c r="G20" i="11"/>
  <c r="G73" i="7"/>
  <c r="E68" i="14"/>
  <c r="E70" i="13"/>
  <c r="C159" i="20"/>
  <c r="C147" i="20"/>
  <c r="I20" i="20"/>
  <c r="G28" i="20"/>
  <c r="C34" i="20"/>
  <c r="C28" i="20"/>
  <c r="C32" i="20"/>
  <c r="G20" i="20"/>
  <c r="E20" i="20"/>
  <c r="C152" i="20"/>
  <c r="C150" i="20"/>
  <c r="C50" i="20"/>
  <c r="Q73" i="20"/>
  <c r="Q74" i="20"/>
  <c r="Q75" i="20"/>
  <c r="Q76" i="20"/>
  <c r="Q77" i="20"/>
  <c r="Q78" i="20"/>
  <c r="Q79" i="20"/>
  <c r="Q80" i="20"/>
  <c r="Q81" i="20"/>
  <c r="E65" i="12"/>
  <c r="E58" i="10"/>
  <c r="E66" i="10"/>
  <c r="H69" i="7"/>
  <c r="R72" i="20"/>
  <c r="R73" i="20"/>
  <c r="L72" i="20"/>
  <c r="G52" i="4"/>
  <c r="G46" i="4"/>
  <c r="G67" i="22"/>
  <c r="G54" i="4"/>
  <c r="G55" i="4" s="1"/>
  <c r="E52" i="9"/>
  <c r="E61" i="9"/>
  <c r="E72" i="8"/>
  <c r="E69" i="7"/>
  <c r="G52" i="9"/>
  <c r="G69" i="7"/>
  <c r="G68" i="19"/>
  <c r="G63" i="14"/>
  <c r="G58" i="12"/>
  <c r="G72" i="16"/>
  <c r="G75" i="16"/>
  <c r="G72" i="8"/>
  <c r="G58" i="10"/>
  <c r="G64" i="13"/>
  <c r="G76" i="8"/>
  <c r="G62" i="10"/>
  <c r="E82" i="8"/>
  <c r="G16" i="11"/>
  <c r="G64" i="15"/>
  <c r="G73" i="19"/>
  <c r="G71" i="7"/>
  <c r="H67" i="22"/>
  <c r="H63" i="12"/>
  <c r="H77" i="20"/>
  <c r="L77" i="20"/>
  <c r="H40" i="11"/>
  <c r="H41" i="11"/>
  <c r="H42" i="11"/>
  <c r="H43" i="11"/>
  <c r="H44" i="11"/>
  <c r="H45" i="11"/>
  <c r="H47" i="11"/>
  <c r="C153" i="20"/>
  <c r="H73" i="7"/>
  <c r="H68" i="22"/>
  <c r="H64" i="13"/>
  <c r="H65" i="13"/>
  <c r="E11" i="21"/>
  <c r="E20" i="21"/>
  <c r="G49" i="15"/>
  <c r="I16" i="11"/>
  <c r="I17" i="11" s="1"/>
  <c r="I18" i="11" s="1"/>
  <c r="I19" i="11" s="1"/>
  <c r="I20" i="11" s="1"/>
  <c r="I21" i="11" s="1"/>
  <c r="I23" i="11" s="1"/>
  <c r="E67" i="22"/>
  <c r="E79" i="22" s="1"/>
  <c r="E80" i="7"/>
  <c r="E68" i="19"/>
  <c r="AU14" i="20" s="1"/>
  <c r="G70" i="7"/>
  <c r="G23" i="11"/>
  <c r="G59" i="12"/>
  <c r="G65" i="15"/>
  <c r="G68" i="15"/>
  <c r="G69" i="19"/>
  <c r="G59" i="10"/>
  <c r="G53" i="9"/>
  <c r="G73" i="8"/>
  <c r="H69" i="19"/>
  <c r="H53" i="9"/>
  <c r="H59" i="10"/>
  <c r="H73" i="8"/>
  <c r="H59" i="12"/>
  <c r="H64" i="14"/>
  <c r="H17" i="11"/>
  <c r="J17" i="11"/>
  <c r="E51" i="15"/>
  <c r="G47" i="15"/>
  <c r="E22" i="21"/>
  <c r="G54" i="16"/>
  <c r="G53" i="16"/>
  <c r="G52" i="16"/>
  <c r="G55" i="16"/>
  <c r="G57" i="16"/>
  <c r="H66" i="15"/>
  <c r="AX16" i="20"/>
  <c r="H60" i="12"/>
  <c r="H71" i="7"/>
  <c r="H66" i="13"/>
  <c r="H74" i="8"/>
  <c r="F42" i="11"/>
  <c r="J42" i="11"/>
  <c r="F56" i="15"/>
  <c r="H55" i="15"/>
  <c r="H74" i="20"/>
  <c r="R74" i="20"/>
  <c r="H65" i="14"/>
  <c r="H18" i="11"/>
  <c r="J18" i="11"/>
  <c r="J19" i="11"/>
  <c r="J20" i="11"/>
  <c r="H54" i="9"/>
  <c r="H54" i="15"/>
  <c r="H56" i="15"/>
  <c r="G65" i="14"/>
  <c r="G74" i="8"/>
  <c r="L74" i="20"/>
  <c r="H68" i="15"/>
  <c r="G51" i="15"/>
  <c r="F21" i="21"/>
  <c r="F13" i="21"/>
  <c r="F30" i="21" s="1"/>
  <c r="F14" i="21"/>
  <c r="F31" i="21" s="1"/>
  <c r="F16" i="21"/>
  <c r="F18" i="21"/>
  <c r="F10" i="21"/>
  <c r="F15" i="21"/>
  <c r="F5" i="21"/>
  <c r="F7" i="21"/>
  <c r="F28" i="21" s="1"/>
  <c r="F11" i="21"/>
  <c r="F9" i="21"/>
  <c r="F12" i="21"/>
  <c r="F8" i="21"/>
  <c r="E50" i="14"/>
  <c r="G47" i="14"/>
  <c r="G49" i="14"/>
  <c r="F20" i="21"/>
  <c r="F17" i="21"/>
  <c r="F22" i="21"/>
  <c r="F19" i="21"/>
  <c r="F6" i="21"/>
  <c r="H55" i="9"/>
  <c r="H61" i="12"/>
  <c r="H66" i="14"/>
  <c r="H68" i="14"/>
  <c r="H75" i="20"/>
  <c r="F43" i="11"/>
  <c r="J43" i="11" s="1"/>
  <c r="J44" i="11" s="1"/>
  <c r="J45" i="11" s="1"/>
  <c r="J47" i="11" s="1"/>
  <c r="G61" i="10"/>
  <c r="G66" i="14"/>
  <c r="G68" i="14"/>
  <c r="L75" i="20"/>
  <c r="G67" i="13"/>
  <c r="G48" i="14"/>
  <c r="G45" i="14"/>
  <c r="R75" i="20"/>
  <c r="R76" i="20" s="1"/>
  <c r="R77" i="20" s="1"/>
  <c r="R78" i="20" s="1"/>
  <c r="R79" i="20" s="1"/>
  <c r="G46" i="14"/>
  <c r="G50" i="14" s="1"/>
  <c r="AX17" i="20"/>
  <c r="H55" i="14"/>
  <c r="AW17" i="20"/>
  <c r="G68" i="13"/>
  <c r="G70" i="13"/>
  <c r="G12" i="21"/>
  <c r="G14" i="21"/>
  <c r="G31" i="21" s="1"/>
  <c r="G56" i="9"/>
  <c r="F57" i="13"/>
  <c r="H55" i="13"/>
  <c r="F44" i="11"/>
  <c r="H70" i="13"/>
  <c r="AX18" i="20"/>
  <c r="G52" i="13"/>
  <c r="H56" i="13"/>
  <c r="H57" i="13"/>
  <c r="AW18" i="20"/>
  <c r="H77" i="8"/>
  <c r="H21" i="11"/>
  <c r="H23" i="11"/>
  <c r="H57" i="9"/>
  <c r="J21" i="11"/>
  <c r="J23" i="11"/>
  <c r="G40" i="12"/>
  <c r="G37" i="12"/>
  <c r="G41" i="12"/>
  <c r="F49" i="12"/>
  <c r="H48" i="12"/>
  <c r="F45" i="11"/>
  <c r="H19" i="21"/>
  <c r="H21" i="21"/>
  <c r="AX19" i="20"/>
  <c r="H47" i="12"/>
  <c r="H49" i="12"/>
  <c r="AY20" i="20"/>
  <c r="I12" i="21"/>
  <c r="I7" i="21"/>
  <c r="I28" i="21" s="1"/>
  <c r="I8" i="21"/>
  <c r="I11" i="21"/>
  <c r="G40" i="10"/>
  <c r="G58" i="9"/>
  <c r="G74" i="19"/>
  <c r="I18" i="21"/>
  <c r="I17" i="21"/>
  <c r="I6" i="21"/>
  <c r="I20" i="21"/>
  <c r="I16" i="21"/>
  <c r="I9" i="21"/>
  <c r="G37" i="10"/>
  <c r="I14" i="21"/>
  <c r="I31" i="21" s="1"/>
  <c r="G39" i="10"/>
  <c r="I15" i="21"/>
  <c r="I10" i="21"/>
  <c r="I5" i="21"/>
  <c r="I19" i="21"/>
  <c r="I13" i="21"/>
  <c r="I30" i="21" s="1"/>
  <c r="H58" i="9"/>
  <c r="H61" i="9"/>
  <c r="AY21" i="20"/>
  <c r="F48" i="10"/>
  <c r="I21" i="21"/>
  <c r="H47" i="10"/>
  <c r="H46" i="10"/>
  <c r="H48" i="10"/>
  <c r="G42" i="10"/>
  <c r="H66" i="10"/>
  <c r="AX21" i="20"/>
  <c r="E50" i="19" l="1"/>
  <c r="G45" i="19" s="1"/>
  <c r="H83" i="20"/>
  <c r="L83" i="20" s="1"/>
  <c r="F58" i="19"/>
  <c r="H55" i="19" s="1"/>
  <c r="G41" i="19"/>
  <c r="G79" i="19" s="1"/>
  <c r="AW26" i="20" s="1"/>
  <c r="N22" i="21"/>
  <c r="O22" i="21" s="1"/>
  <c r="N21" i="21"/>
  <c r="H81" i="19"/>
  <c r="AY26" i="20"/>
  <c r="N20" i="21"/>
  <c r="N6" i="21"/>
  <c r="N32" i="21" s="1"/>
  <c r="O32" i="21" s="1"/>
  <c r="N15" i="21"/>
  <c r="N13" i="21"/>
  <c r="N30" i="21" s="1"/>
  <c r="N8" i="21"/>
  <c r="N11" i="21"/>
  <c r="G49" i="19"/>
  <c r="G48" i="19"/>
  <c r="G47" i="19"/>
  <c r="N19" i="21"/>
  <c r="N17" i="21"/>
  <c r="N16" i="21"/>
  <c r="N7" i="21"/>
  <c r="N28" i="21" s="1"/>
  <c r="N9" i="21"/>
  <c r="G46" i="19"/>
  <c r="N12" i="21"/>
  <c r="N14" i="21"/>
  <c r="N31" i="21" s="1"/>
  <c r="M9" i="21"/>
  <c r="G47" i="22"/>
  <c r="G48" i="22"/>
  <c r="AY14" i="20"/>
  <c r="AU15" i="20"/>
  <c r="AY15" i="20" s="1"/>
  <c r="E81" i="19"/>
  <c r="AY24" i="20"/>
  <c r="G46" i="22"/>
  <c r="M21" i="21"/>
  <c r="G50" i="22"/>
  <c r="G49" i="22"/>
  <c r="AX25" i="20"/>
  <c r="H79" i="22"/>
  <c r="AY25" i="20"/>
  <c r="F57" i="22"/>
  <c r="G79" i="22"/>
  <c r="M8" i="21"/>
  <c r="F47" i="11"/>
  <c r="H56" i="14"/>
  <c r="G46" i="7"/>
  <c r="L19" i="21"/>
  <c r="F29" i="21"/>
  <c r="H80" i="7"/>
  <c r="G47" i="7"/>
  <c r="G48" i="7"/>
  <c r="G44" i="7"/>
  <c r="L16" i="21"/>
  <c r="L14" i="21"/>
  <c r="L31" i="21" s="1"/>
  <c r="G48" i="8"/>
  <c r="G49" i="8"/>
  <c r="G43" i="8"/>
  <c r="AX28" i="20"/>
  <c r="AX30" i="20" s="1"/>
  <c r="H82" i="8"/>
  <c r="G53" i="8"/>
  <c r="F60" i="8"/>
  <c r="H59" i="8" s="1"/>
  <c r="K13" i="21"/>
  <c r="K30" i="21" s="1"/>
  <c r="H80" i="20"/>
  <c r="R80" i="20" s="1"/>
  <c r="K18" i="21"/>
  <c r="K14" i="21"/>
  <c r="K31" i="21" s="1"/>
  <c r="K20" i="21"/>
  <c r="K8" i="21"/>
  <c r="K17" i="21"/>
  <c r="K10" i="21"/>
  <c r="K19" i="21"/>
  <c r="K15" i="21"/>
  <c r="K16" i="21"/>
  <c r="H58" i="8"/>
  <c r="H60" i="8" s="1"/>
  <c r="E40" i="9"/>
  <c r="G44" i="9"/>
  <c r="F45" i="9" s="1"/>
  <c r="H44" i="9" s="1"/>
  <c r="G29" i="21"/>
  <c r="E29" i="21"/>
  <c r="H34" i="21"/>
  <c r="D23" i="21"/>
  <c r="E34" i="21"/>
  <c r="G59" i="9"/>
  <c r="G75" i="19"/>
  <c r="G76" i="7"/>
  <c r="G79" i="8"/>
  <c r="I34" i="21"/>
  <c r="F27" i="21"/>
  <c r="C23" i="21"/>
  <c r="E23" i="21"/>
  <c r="M29" i="21"/>
  <c r="G34" i="21"/>
  <c r="H29" i="21"/>
  <c r="G23" i="21"/>
  <c r="F34" i="21"/>
  <c r="I29" i="21"/>
  <c r="M34" i="21"/>
  <c r="G27" i="21"/>
  <c r="D35" i="21"/>
  <c r="C35" i="21"/>
  <c r="F23" i="21"/>
  <c r="I23" i="21"/>
  <c r="L34" i="21"/>
  <c r="H23" i="21"/>
  <c r="G42" i="12"/>
  <c r="H65" i="12"/>
  <c r="G66" i="10"/>
  <c r="G65" i="12"/>
  <c r="D47" i="11"/>
  <c r="N18" i="21" l="1"/>
  <c r="N34" i="21" s="1"/>
  <c r="N29" i="21"/>
  <c r="H56" i="19"/>
  <c r="H58" i="19" s="1"/>
  <c r="N33" i="21"/>
  <c r="O33" i="21" s="1"/>
  <c r="G50" i="19"/>
  <c r="O30" i="21"/>
  <c r="M23" i="21"/>
  <c r="AU28" i="20"/>
  <c r="G51" i="22"/>
  <c r="F59" i="22"/>
  <c r="H82" i="20"/>
  <c r="L82" i="20" s="1"/>
  <c r="L29" i="21"/>
  <c r="H81" i="20"/>
  <c r="L81" i="20" s="1"/>
  <c r="F57" i="7"/>
  <c r="H54" i="7" s="1"/>
  <c r="H55" i="7"/>
  <c r="L23" i="21"/>
  <c r="G49" i="7"/>
  <c r="K5" i="21"/>
  <c r="K34" i="21" s="1"/>
  <c r="K11" i="21"/>
  <c r="K9" i="21"/>
  <c r="K7" i="21"/>
  <c r="K28" i="21" s="1"/>
  <c r="G76" i="19"/>
  <c r="G81" i="19" s="1"/>
  <c r="G77" i="7"/>
  <c r="G80" i="7" s="1"/>
  <c r="G80" i="8"/>
  <c r="AW23" i="20" s="1"/>
  <c r="AY23" i="20" s="1"/>
  <c r="K12" i="21"/>
  <c r="L80" i="20"/>
  <c r="H85" i="20"/>
  <c r="L85" i="20" s="1"/>
  <c r="K29" i="21"/>
  <c r="J20" i="21"/>
  <c r="O20" i="21" s="1"/>
  <c r="G39" i="9"/>
  <c r="J17" i="21"/>
  <c r="O17" i="21" s="1"/>
  <c r="J8" i="21"/>
  <c r="O8" i="21" s="1"/>
  <c r="G37" i="9"/>
  <c r="J9" i="21"/>
  <c r="G36" i="9"/>
  <c r="G38" i="9"/>
  <c r="J6" i="21"/>
  <c r="O6" i="21" s="1"/>
  <c r="G35" i="9"/>
  <c r="J13" i="21"/>
  <c r="O13" i="21" s="1"/>
  <c r="J16" i="21"/>
  <c r="O16" i="21" s="1"/>
  <c r="J18" i="21"/>
  <c r="O18" i="21" s="1"/>
  <c r="J11" i="21"/>
  <c r="J15" i="21"/>
  <c r="O15" i="21" s="1"/>
  <c r="J19" i="21"/>
  <c r="O19" i="21" s="1"/>
  <c r="J5" i="21"/>
  <c r="J12" i="21"/>
  <c r="J14" i="21"/>
  <c r="J31" i="21" s="1"/>
  <c r="O31" i="21" s="1"/>
  <c r="J7" i="21"/>
  <c r="J10" i="21"/>
  <c r="O10" i="21" s="1"/>
  <c r="J21" i="21"/>
  <c r="O21" i="21" s="1"/>
  <c r="H43" i="9"/>
  <c r="H45" i="9" s="1"/>
  <c r="G61" i="9"/>
  <c r="AW22" i="20"/>
  <c r="E35" i="21"/>
  <c r="O27" i="21"/>
  <c r="L35" i="21"/>
  <c r="I35" i="21"/>
  <c r="M35" i="21"/>
  <c r="G35" i="21"/>
  <c r="F35" i="21"/>
  <c r="H35" i="21"/>
  <c r="N23" i="21" l="1"/>
  <c r="N35" i="21"/>
  <c r="C160" i="20"/>
  <c r="C54" i="20"/>
  <c r="H56" i="22"/>
  <c r="H57" i="22"/>
  <c r="H57" i="7"/>
  <c r="R81" i="20"/>
  <c r="R82" i="20" s="1"/>
  <c r="R83" i="20" s="1"/>
  <c r="R85" i="20" s="1"/>
  <c r="J34" i="21"/>
  <c r="O34" i="21" s="1"/>
  <c r="O11" i="21"/>
  <c r="K35" i="21"/>
  <c r="K23" i="21"/>
  <c r="O9" i="21"/>
  <c r="G82" i="8"/>
  <c r="O12" i="21"/>
  <c r="O5" i="21"/>
  <c r="O14" i="21"/>
  <c r="J29" i="21"/>
  <c r="O29" i="21" s="1"/>
  <c r="G40" i="9"/>
  <c r="J28" i="21"/>
  <c r="O28" i="21" s="1"/>
  <c r="O7" i="21"/>
  <c r="J23" i="21"/>
  <c r="AW28" i="20"/>
  <c r="AY22" i="20"/>
  <c r="H59" i="22" l="1"/>
  <c r="O23" i="21"/>
  <c r="J35" i="21"/>
  <c r="O35" i="21"/>
  <c r="C161" i="20"/>
  <c r="AY28" i="20"/>
  <c r="J87" i="20"/>
  <c r="C55" i="20"/>
</calcChain>
</file>

<file path=xl/sharedStrings.xml><?xml version="1.0" encoding="utf-8"?>
<sst xmlns="http://schemas.openxmlformats.org/spreadsheetml/2006/main" count="934" uniqueCount="131">
  <si>
    <t>Temporada</t>
  </si>
  <si>
    <t xml:space="preserve">DATOS ESTADíSTICOS SECTOR PESQUERO AL </t>
  </si>
  <si>
    <t>31/01/</t>
  </si>
  <si>
    <t>DJ</t>
  </si>
  <si>
    <t>FECHA</t>
  </si>
  <si>
    <t>BUQUE</t>
  </si>
  <si>
    <t>DESCARGA /KGS.</t>
  </si>
  <si>
    <t>MOVIMIENTO</t>
  </si>
  <si>
    <t>VIERNES SANTO</t>
  </si>
  <si>
    <t>Descarga a Planta de Procesadora</t>
  </si>
  <si>
    <t>ARVIS</t>
  </si>
  <si>
    <t>SUMATRA</t>
  </si>
  <si>
    <t>GLORIOSUS</t>
  </si>
  <si>
    <t>MARTA "S"</t>
  </si>
  <si>
    <t>COLUMBUS</t>
  </si>
  <si>
    <t>TOTAL TONELADAS</t>
  </si>
  <si>
    <t>EMPRESA</t>
  </si>
  <si>
    <t>DESCARGA/KGS.</t>
  </si>
  <si>
    <t>%</t>
  </si>
  <si>
    <t>B/P</t>
  </si>
  <si>
    <t>Argenwolf S.A.</t>
  </si>
  <si>
    <t>La Perla Del Este</t>
  </si>
  <si>
    <t>Los Importados S.R.L.</t>
  </si>
  <si>
    <t>Hemdora S.A.</t>
  </si>
  <si>
    <t>TOTALES</t>
  </si>
  <si>
    <t>A Camión Térmico/Uruguay</t>
  </si>
  <si>
    <t>A Planta Procesadora</t>
  </si>
  <si>
    <t>COMPARATIVO AÑO ANTERIOR</t>
  </si>
  <si>
    <t>AÑO</t>
  </si>
  <si>
    <t>MES</t>
  </si>
  <si>
    <t>Toneladas</t>
  </si>
  <si>
    <t>Buques</t>
  </si>
  <si>
    <t>Enero</t>
  </si>
  <si>
    <t>28/02/</t>
  </si>
  <si>
    <t>Descarga a Planta Procesadora</t>
  </si>
  <si>
    <t>MARTA S</t>
  </si>
  <si>
    <t>ARVI</t>
  </si>
  <si>
    <t>La Escalerona S.A.</t>
  </si>
  <si>
    <t>Febrero</t>
  </si>
  <si>
    <t>31/03/</t>
  </si>
  <si>
    <t>Marzo</t>
  </si>
  <si>
    <t>31/04/</t>
  </si>
  <si>
    <t>DESCARGA A PLANTA PROCESADORA</t>
  </si>
  <si>
    <t>Abril</t>
  </si>
  <si>
    <t>31/05/</t>
  </si>
  <si>
    <t>Mayo</t>
  </si>
  <si>
    <t>30/06/</t>
  </si>
  <si>
    <t>Junio</t>
  </si>
  <si>
    <t>ACUMULATIVO</t>
  </si>
  <si>
    <t>TOTAL</t>
  </si>
  <si>
    <t>Camión Térmico/Uruguay</t>
  </si>
  <si>
    <t>Planta Procesadora</t>
  </si>
  <si>
    <t>31/07/</t>
  </si>
  <si>
    <t>Los Importados s.r.l.</t>
  </si>
  <si>
    <t>Hemdora S.A</t>
  </si>
  <si>
    <t>Julio</t>
  </si>
  <si>
    <t>31/08/</t>
  </si>
  <si>
    <t>DON AGUSTIN</t>
  </si>
  <si>
    <t>San Salvador S.R.L.</t>
  </si>
  <si>
    <t>Agosto</t>
  </si>
  <si>
    <t>30/09/</t>
  </si>
  <si>
    <t>Argenfolw S.A</t>
  </si>
  <si>
    <t>Septiembre</t>
  </si>
  <si>
    <t>31/10/</t>
  </si>
  <si>
    <t>Octubre</t>
  </si>
  <si>
    <t>30/11/</t>
  </si>
  <si>
    <t>PETREL</t>
  </si>
  <si>
    <t>R. Calvo e Hijos S.A.</t>
  </si>
  <si>
    <t>Noviembre</t>
  </si>
  <si>
    <t>31/12/</t>
  </si>
  <si>
    <t>CANAL DE BEAGLE</t>
  </si>
  <si>
    <t>CORAJE</t>
  </si>
  <si>
    <t>GOLFO SAN MATIAS</t>
  </si>
  <si>
    <t>HUAFENG 820</t>
  </si>
  <si>
    <t>Melimar S.A.</t>
  </si>
  <si>
    <t>La Perla del Este</t>
  </si>
  <si>
    <t>Iberconsa de Arg. S.A.</t>
  </si>
  <si>
    <t>Diciembre</t>
  </si>
  <si>
    <t>% Variación Tn. 2020/2021</t>
  </si>
  <si>
    <t>Total Semestre</t>
  </si>
  <si>
    <t>24</t>
  </si>
  <si>
    <t>Total Anual</t>
  </si>
  <si>
    <t>Total Buques</t>
  </si>
  <si>
    <t>DATOS ESTADÍSTICOS POR MOVIMIENTO - 2021</t>
  </si>
  <si>
    <t>MOVIMIENTO 2020 / KGS.</t>
  </si>
  <si>
    <t>MOVIMIENTO 2021/ KGS.</t>
  </si>
  <si>
    <t>% VARIACIÓN  KGS.    2020/2021</t>
  </si>
  <si>
    <t>ACUMULATIVO MOVIMIENTO 2021/ KGS.</t>
  </si>
  <si>
    <t>Uruguay</t>
  </si>
  <si>
    <t>Calamar Planta Procesadora</t>
  </si>
  <si>
    <t>Trasbordo a mercante</t>
  </si>
  <si>
    <t>TOTAL MOVIMIENTO (KGS.)</t>
  </si>
  <si>
    <t xml:space="preserve"> </t>
  </si>
  <si>
    <t>TOTALES ANUALES - 1983 A 2021</t>
  </si>
  <si>
    <t>Fuente: 1983 a 1997  CO.D.E.PO. - Mtrio. Economía Pcia. de Río Negro (1983 a 1985 no hubo movimiento)</t>
  </si>
  <si>
    <t>( * )</t>
  </si>
  <si>
    <t>DESCARGA EXPRESADA EN KGS.  2021</t>
  </si>
  <si>
    <t xml:space="preserve">BUQUE 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</si>
  <si>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</si>
  <si>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</si>
  <si>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</si>
  <si>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</si>
  <si>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</si>
  <si>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</si>
  <si>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</si>
  <si>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</si>
  <si>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SPTBRE</t>
  </si>
  <si>
    <t>OCTBRE</t>
  </si>
  <si>
    <t>NVBRE</t>
  </si>
  <si>
    <t>DCBRE</t>
  </si>
  <si>
    <t>Gloriosus</t>
  </si>
  <si>
    <t>Huafeng 820</t>
  </si>
  <si>
    <t>Don Agustin</t>
  </si>
  <si>
    <t>Nono Pascual</t>
  </si>
  <si>
    <t>Magdalena María II</t>
  </si>
  <si>
    <t>Canal de Beagle</t>
  </si>
  <si>
    <t>Victoria I</t>
  </si>
  <si>
    <t>San Salvador</t>
  </si>
  <si>
    <t>Columbus</t>
  </si>
  <si>
    <t>Viernes Santo</t>
  </si>
  <si>
    <t>polarbirg</t>
  </si>
  <si>
    <t>Arvi</t>
  </si>
  <si>
    <t>Temerario</t>
  </si>
  <si>
    <t>Marta S</t>
  </si>
  <si>
    <t>Sumatra</t>
  </si>
  <si>
    <t>Petrel</t>
  </si>
  <si>
    <t>Coraje</t>
  </si>
  <si>
    <t>Golfo San Matias</t>
  </si>
  <si>
    <t>Los Importados S:R.L.</t>
  </si>
  <si>
    <t>Melimar S,A.</t>
  </si>
  <si>
    <t>Iberconsa de Arg S.A.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</si>
</sst>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>
    <font>
      <sz val="10"/>
      <name val="Arial"/>
    </font>
    <font>
      <sz val="10"/>
      <name val="Arial"/>
    </font>
    <font>
      <b/>
      <sz val="9"/>
      <name val="Verdana"/>
      <family val="2"/>
    </font>
    <font>
      <b/>
      <sz val="10"/>
      <name val="Arial"/>
      <family val="2"/>
    </font>
    <font>
      <sz val="9"/>
      <name val="Verdana"/>
      <family val="2"/>
    </font>
    <font>
      <b/>
      <sz val="9"/>
      <color indexed="14"/>
      <name val="Verdana"/>
      <family val="2"/>
    </font>
    <font>
      <b/>
      <sz val="9"/>
      <color indexed="40"/>
      <name val="Verdana"/>
      <family val="2"/>
    </font>
    <font>
      <sz val="9"/>
      <color indexed="40"/>
      <name val="Verdana"/>
      <family val="2"/>
    </font>
    <font>
      <b/>
      <sz val="9"/>
      <color indexed="52"/>
      <name val="Verdana"/>
      <family val="2"/>
    </font>
    <font>
      <sz val="9"/>
      <color indexed="18"/>
      <name val="Verdana"/>
      <family val="2"/>
    </font>
    <font>
      <b/>
      <sz val="12"/>
      <name val="Verdana"/>
      <family val="2"/>
    </font>
    <font>
      <sz val="10"/>
      <name val="Verdana"/>
      <family val="2"/>
    </font>
    <font>
      <sz val="8"/>
      <name val="Verdana"/>
      <family val="2"/>
    </font>
    <font>
      <sz val="8"/>
      <color indexed="18"/>
      <name val="Verdana"/>
      <family val="2"/>
    </font>
    <font>
      <sz val="10"/>
      <color indexed="18"/>
      <name val="Verdana"/>
      <family val="2"/>
    </font>
    <font>
      <sz val="7"/>
      <color indexed="18"/>
      <name val="Verdana"/>
      <family val="2"/>
    </font>
    <font>
      <sz val="9"/>
      <color indexed="62"/>
      <name val="Verdana"/>
      <family val="2"/>
    </font>
    <font>
      <sz val="9"/>
      <color indexed="12"/>
      <name val="Verdana"/>
      <family val="2"/>
    </font>
    <font>
      <b/>
      <sz val="9"/>
      <color indexed="62"/>
      <name val="Verdana"/>
      <family val="2"/>
    </font>
    <font>
      <sz val="10"/>
      <color indexed="12"/>
      <name val="Verdana"/>
      <family val="2"/>
    </font>
    <font>
      <sz val="8"/>
      <color indexed="12"/>
      <name val="Verdana"/>
      <family val="2"/>
    </font>
    <font>
      <sz val="10"/>
      <color indexed="62"/>
      <name val="Arial"/>
      <family val="2"/>
    </font>
    <font>
      <sz val="10"/>
      <color indexed="53"/>
      <name val="Arial"/>
      <family val="2"/>
    </font>
    <font>
      <sz val="8"/>
      <name val="Arial"/>
      <family val="2"/>
    </font>
    <font>
      <b/>
      <sz val="12"/>
      <color indexed="62"/>
      <name val="Verdana"/>
      <family val="2"/>
    </font>
    <font>
      <b/>
      <sz val="10"/>
      <color indexed="62"/>
      <name val="Verdana"/>
      <family val="2"/>
    </font>
    <font>
      <sz val="9"/>
      <color indexed="10"/>
      <name val="Verdana"/>
      <family val="2"/>
    </font>
    <font>
      <sz val="10"/>
      <name val="Arial"/>
      <family val="2"/>
    </font>
    <font>
      <sz val="10"/>
      <color indexed="62"/>
      <name val="Verdana"/>
      <family val="2"/>
    </font>
    <font>
      <sz val="10"/>
      <name val="Arial"/>
      <family val="2"/>
    </font>
    <font>
      <b/>
      <sz val="10"/>
      <color indexed="40"/>
      <name val="Verdana"/>
      <family val="2"/>
    </font>
    <font>
      <sz val="10"/>
      <color indexed="40"/>
      <name val="Verdana"/>
      <family val="2"/>
    </font>
    <font>
      <sz val="11"/>
      <color indexed="60"/>
      <name val="Calibri"/>
      <family val="2"/>
    </font>
    <font>
      <b/>
      <sz val="11"/>
      <color indexed="8"/>
      <name val="Calibri"/>
      <family val="2"/>
    </font>
    <font>
      <sz val="9"/>
      <name val="Arial"/>
      <family val="2"/>
    </font>
    <font>
      <b/>
      <i/>
      <sz val="12"/>
      <name val="Verdana"/>
      <family val="2"/>
    </font>
    <font>
      <b/>
      <i/>
      <sz val="10"/>
      <color rgb="FF000080"/>
      <name val="Verdana"/>
      <family val="2"/>
    </font>
  </fonts>
  <fills count="17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 tint="-9.9978637043366805E-2"/>
        <bgColor indexed="64"/>
      </patternFill>
    </fill>
  </fills>
  <borders count="31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2"/>
      </bottom>
      <diagonal/>
    </border>
    <border>
      <left/>
      <right/>
      <top style="thin">
        <color indexed="62"/>
      </top>
      <bottom style="thin">
        <color indexed="62"/>
      </bottom>
      <diagonal/>
    </border>
    <border>
      <left style="thin">
        <color indexed="9"/>
      </left>
      <right style="thin">
        <color indexed="9"/>
      </right>
      <top style="thin">
        <color indexed="62"/>
      </top>
      <bottom/>
      <diagonal/>
    </border>
    <border>
      <left style="thin">
        <color indexed="62"/>
      </left>
      <right style="thin">
        <color indexed="64"/>
      </right>
      <top style="thin">
        <color indexed="62"/>
      </top>
      <bottom style="thin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2"/>
      </top>
      <bottom style="thin">
        <color indexed="62"/>
      </bottom>
      <diagonal/>
    </border>
    <border>
      <left style="thin">
        <color indexed="64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/>
      <right style="thin">
        <color indexed="62"/>
      </right>
      <top style="thin">
        <color indexed="62"/>
      </top>
      <bottom style="thin">
        <color indexed="62"/>
      </bottom>
      <diagonal/>
    </border>
    <border>
      <left/>
      <right/>
      <top style="thin">
        <color indexed="62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2"/>
      </left>
      <right/>
      <top style="thin">
        <color indexed="62"/>
      </top>
      <bottom style="thin">
        <color indexed="62"/>
      </bottom>
      <diagonal/>
    </border>
    <border>
      <left/>
      <right/>
      <top style="thin">
        <color indexed="9"/>
      </top>
      <bottom/>
      <diagonal/>
    </border>
    <border>
      <left/>
      <right/>
      <top/>
      <bottom style="thin">
        <color indexed="9"/>
      </bottom>
      <diagonal/>
    </border>
    <border>
      <left/>
      <right style="thin">
        <color indexed="9"/>
      </right>
      <top style="thin">
        <color indexed="62"/>
      </top>
      <bottom/>
      <diagonal/>
    </border>
    <border>
      <left style="thin">
        <color indexed="9"/>
      </left>
      <right/>
      <top style="thin">
        <color indexed="62"/>
      </top>
      <bottom/>
      <diagonal/>
    </border>
  </borders>
  <cellStyleXfs count="3">
    <xf numFmtId="0" fontId="0" fillId="0" borderId="0"/>
    <xf numFmtId="0" fontId="32" fillId="2" borderId="0" applyNumberFormat="0" applyBorder="0" applyAlignment="0" applyProtection="0"/>
    <xf numFmtId="0" fontId="33" fillId="0" borderId="2" applyNumberFormat="0" applyFill="0" applyAlignment="0" applyProtection="0"/>
  </cellStyleXfs>
  <cellXfs count="344">
    <xf numFmtId="0" fontId="0" fillId="0" borderId="0" xfId="0"/>
    <xf numFmtId="0" fontId="3" fillId="0" borderId="0" xfId="0" applyFont="1" applyAlignment="1">
      <alignment horizontal="left"/>
    </xf>
    <xf numFmtId="0" fontId="4" fillId="0" borderId="0" xfId="0" applyFont="1"/>
    <xf numFmtId="0" fontId="0" fillId="3" borderId="0" xfId="0" applyFill="1"/>
    <xf numFmtId="0" fontId="3" fillId="3" borderId="0" xfId="0" applyFont="1" applyFill="1" applyAlignment="1">
      <alignment horizontal="center"/>
    </xf>
    <xf numFmtId="0" fontId="0" fillId="3" borderId="0" xfId="0" applyFill="1" applyAlignment="1">
      <alignment horizontal="left"/>
    </xf>
    <xf numFmtId="0" fontId="3" fillId="3" borderId="0" xfId="0" applyFont="1" applyFill="1" applyAlignment="1">
      <alignment horizontal="left"/>
    </xf>
    <xf numFmtId="0" fontId="4" fillId="3" borderId="0" xfId="0" applyFont="1" applyFill="1"/>
    <xf numFmtId="0" fontId="2" fillId="3" borderId="0" xfId="0" applyFont="1" applyFill="1" applyAlignment="1">
      <alignment horizontal="center"/>
    </xf>
    <xf numFmtId="0" fontId="4" fillId="3" borderId="0" xfId="0" applyFont="1" applyFill="1" applyAlignment="1">
      <alignment horizontal="left"/>
    </xf>
    <xf numFmtId="0" fontId="6" fillId="3" borderId="0" xfId="0" applyFont="1" applyFill="1" applyAlignment="1">
      <alignment horizontal="center"/>
    </xf>
    <xf numFmtId="14" fontId="4" fillId="3" borderId="0" xfId="0" applyNumberFormat="1" applyFont="1" applyFill="1" applyAlignment="1">
      <alignment horizontal="left"/>
    </xf>
    <xf numFmtId="4" fontId="4" fillId="3" borderId="0" xfId="0" applyNumberFormat="1" applyFont="1" applyFill="1"/>
    <xf numFmtId="4" fontId="6" fillId="3" borderId="0" xfId="0" applyNumberFormat="1" applyFont="1" applyFill="1"/>
    <xf numFmtId="0" fontId="7" fillId="3" borderId="0" xfId="0" applyFont="1" applyFill="1"/>
    <xf numFmtId="0" fontId="6" fillId="3" borderId="0" xfId="0" applyFont="1" applyFill="1" applyAlignment="1">
      <alignment horizontal="left"/>
    </xf>
    <xf numFmtId="10" fontId="4" fillId="3" borderId="0" xfId="0" applyNumberFormat="1" applyFont="1" applyFill="1"/>
    <xf numFmtId="1" fontId="4" fillId="3" borderId="0" xfId="0" applyNumberFormat="1" applyFont="1" applyFill="1"/>
    <xf numFmtId="0" fontId="4" fillId="3" borderId="0" xfId="0" applyFont="1" applyFill="1" applyAlignment="1">
      <alignment horizontal="center"/>
    </xf>
    <xf numFmtId="4" fontId="13" fillId="4" borderId="3" xfId="0" applyNumberFormat="1" applyFont="1" applyFill="1" applyBorder="1"/>
    <xf numFmtId="3" fontId="13" fillId="4" borderId="4" xfId="0" applyNumberFormat="1" applyFont="1" applyFill="1" applyBorder="1"/>
    <xf numFmtId="0" fontId="9" fillId="4" borderId="0" xfId="0" applyFont="1" applyFill="1"/>
    <xf numFmtId="4" fontId="13" fillId="4" borderId="0" xfId="0" applyNumberFormat="1" applyFont="1" applyFill="1"/>
    <xf numFmtId="3" fontId="13" fillId="4" borderId="0" xfId="0" applyNumberFormat="1" applyFont="1" applyFill="1"/>
    <xf numFmtId="0" fontId="13" fillId="5" borderId="5" xfId="0" applyFont="1" applyFill="1" applyBorder="1" applyAlignment="1">
      <alignment horizontal="center"/>
    </xf>
    <xf numFmtId="0" fontId="14" fillId="3" borderId="5" xfId="0" applyFont="1" applyFill="1" applyBorder="1" applyAlignment="1">
      <alignment horizontal="right"/>
    </xf>
    <xf numFmtId="0" fontId="14" fillId="3" borderId="5" xfId="0" applyFont="1" applyFill="1" applyBorder="1" applyAlignment="1">
      <alignment horizontal="center"/>
    </xf>
    <xf numFmtId="0" fontId="11" fillId="3" borderId="6" xfId="0" applyFont="1" applyFill="1" applyBorder="1" applyAlignment="1">
      <alignment horizontal="center"/>
    </xf>
    <xf numFmtId="0" fontId="12" fillId="3" borderId="3" xfId="0" applyFont="1" applyFill="1" applyBorder="1" applyAlignment="1">
      <alignment horizontal="center"/>
    </xf>
    <xf numFmtId="0" fontId="12" fillId="3" borderId="4" xfId="0" applyFont="1" applyFill="1" applyBorder="1" applyAlignment="1">
      <alignment horizontal="center"/>
    </xf>
    <xf numFmtId="0" fontId="12" fillId="3" borderId="7" xfId="0" applyFont="1" applyFill="1" applyBorder="1"/>
    <xf numFmtId="4" fontId="12" fillId="3" borderId="3" xfId="0" applyNumberFormat="1" applyFont="1" applyFill="1" applyBorder="1"/>
    <xf numFmtId="3" fontId="12" fillId="3" borderId="4" xfId="0" applyNumberFormat="1" applyFont="1" applyFill="1" applyBorder="1"/>
    <xf numFmtId="0" fontId="12" fillId="3" borderId="8" xfId="0" applyFont="1" applyFill="1" applyBorder="1"/>
    <xf numFmtId="4" fontId="12" fillId="3" borderId="9" xfId="0" applyNumberFormat="1" applyFont="1" applyFill="1" applyBorder="1"/>
    <xf numFmtId="3" fontId="12" fillId="3" borderId="10" xfId="0" applyNumberFormat="1" applyFont="1" applyFill="1" applyBorder="1"/>
    <xf numFmtId="4" fontId="12" fillId="3" borderId="0" xfId="0" applyNumberFormat="1" applyFont="1" applyFill="1"/>
    <xf numFmtId="3" fontId="12" fillId="3" borderId="0" xfId="0" applyNumberFormat="1" applyFont="1" applyFill="1"/>
    <xf numFmtId="0" fontId="12" fillId="3" borderId="0" xfId="0" applyFont="1" applyFill="1"/>
    <xf numFmtId="0" fontId="15" fillId="4" borderId="7" xfId="0" applyFont="1" applyFill="1" applyBorder="1"/>
    <xf numFmtId="16" fontId="4" fillId="3" borderId="0" xfId="0" applyNumberFormat="1" applyFont="1" applyFill="1"/>
    <xf numFmtId="4" fontId="18" fillId="3" borderId="11" xfId="0" applyNumberFormat="1" applyFont="1" applyFill="1" applyBorder="1" applyAlignment="1">
      <alignment horizontal="center"/>
    </xf>
    <xf numFmtId="14" fontId="4" fillId="3" borderId="0" xfId="0" applyNumberFormat="1" applyFont="1" applyFill="1" applyAlignment="1">
      <alignment horizontal="center"/>
    </xf>
    <xf numFmtId="10" fontId="4" fillId="3" borderId="0" xfId="0" applyNumberFormat="1" applyFont="1" applyFill="1" applyAlignment="1">
      <alignment horizontal="right"/>
    </xf>
    <xf numFmtId="10" fontId="16" fillId="3" borderId="11" xfId="0" applyNumberFormat="1" applyFont="1" applyFill="1" applyBorder="1" applyAlignment="1">
      <alignment horizontal="right"/>
    </xf>
    <xf numFmtId="1" fontId="4" fillId="3" borderId="0" xfId="0" applyNumberFormat="1" applyFont="1" applyFill="1" applyAlignment="1">
      <alignment horizontal="right"/>
    </xf>
    <xf numFmtId="1" fontId="16" fillId="3" borderId="11" xfId="0" applyNumberFormat="1" applyFont="1" applyFill="1" applyBorder="1" applyAlignment="1">
      <alignment horizontal="right"/>
    </xf>
    <xf numFmtId="4" fontId="16" fillId="3" borderId="0" xfId="0" applyNumberFormat="1" applyFont="1" applyFill="1" applyAlignment="1">
      <alignment horizontal="right"/>
    </xf>
    <xf numFmtId="0" fontId="14" fillId="3" borderId="8" xfId="0" applyFont="1" applyFill="1" applyBorder="1" applyAlignment="1">
      <alignment horizontal="center"/>
    </xf>
    <xf numFmtId="10" fontId="16" fillId="3" borderId="0" xfId="0" applyNumberFormat="1" applyFont="1" applyFill="1" applyAlignment="1">
      <alignment horizontal="right"/>
    </xf>
    <xf numFmtId="0" fontId="13" fillId="3" borderId="0" xfId="0" applyFont="1" applyFill="1" applyAlignment="1">
      <alignment horizontal="center"/>
    </xf>
    <xf numFmtId="0" fontId="20" fillId="5" borderId="5" xfId="0" applyFont="1" applyFill="1" applyBorder="1" applyAlignment="1">
      <alignment horizontal="center"/>
    </xf>
    <xf numFmtId="0" fontId="0" fillId="3" borderId="6" xfId="0" applyFill="1" applyBorder="1"/>
    <xf numFmtId="0" fontId="4" fillId="3" borderId="8" xfId="0" applyFont="1" applyFill="1" applyBorder="1"/>
    <xf numFmtId="0" fontId="20" fillId="3" borderId="5" xfId="0" applyFont="1" applyFill="1" applyBorder="1" applyAlignment="1">
      <alignment horizontal="center"/>
    </xf>
    <xf numFmtId="0" fontId="20" fillId="3" borderId="8" xfId="0" applyFont="1" applyFill="1" applyBorder="1" applyAlignment="1">
      <alignment horizontal="center"/>
    </xf>
    <xf numFmtId="0" fontId="20" fillId="3" borderId="12" xfId="0" applyFont="1" applyFill="1" applyBorder="1" applyAlignment="1">
      <alignment horizontal="center"/>
    </xf>
    <xf numFmtId="4" fontId="0" fillId="3" borderId="0" xfId="0" applyNumberFormat="1" applyFill="1"/>
    <xf numFmtId="4" fontId="4" fillId="4" borderId="0" xfId="0" applyNumberFormat="1" applyFont="1" applyFill="1"/>
    <xf numFmtId="3" fontId="4" fillId="4" borderId="0" xfId="0" applyNumberFormat="1" applyFont="1" applyFill="1"/>
    <xf numFmtId="4" fontId="0" fillId="4" borderId="0" xfId="0" applyNumberFormat="1" applyFill="1"/>
    <xf numFmtId="0" fontId="15" fillId="4" borderId="0" xfId="0" applyFont="1" applyFill="1"/>
    <xf numFmtId="0" fontId="14" fillId="3" borderId="0" xfId="0" applyFont="1" applyFill="1" applyAlignment="1">
      <alignment horizontal="right"/>
    </xf>
    <xf numFmtId="0" fontId="14" fillId="3" borderId="10" xfId="0" applyFont="1" applyFill="1" applyBorder="1" applyAlignment="1">
      <alignment horizontal="right"/>
    </xf>
    <xf numFmtId="0" fontId="0" fillId="3" borderId="13" xfId="0" applyFill="1" applyBorder="1"/>
    <xf numFmtId="0" fontId="0" fillId="3" borderId="3" xfId="0" applyFill="1" applyBorder="1"/>
    <xf numFmtId="0" fontId="0" fillId="3" borderId="9" xfId="0" applyFill="1" applyBorder="1"/>
    <xf numFmtId="0" fontId="0" fillId="3" borderId="12" xfId="0" applyFill="1" applyBorder="1"/>
    <xf numFmtId="0" fontId="0" fillId="4" borderId="0" xfId="0" applyFill="1"/>
    <xf numFmtId="4" fontId="0" fillId="3" borderId="12" xfId="0" applyNumberFormat="1" applyFill="1" applyBorder="1"/>
    <xf numFmtId="0" fontId="15" fillId="3" borderId="0" xfId="0" applyFont="1" applyFill="1"/>
    <xf numFmtId="0" fontId="0" fillId="3" borderId="4" xfId="0" applyFill="1" applyBorder="1"/>
    <xf numFmtId="4" fontId="0" fillId="3" borderId="4" xfId="0" applyNumberFormat="1" applyFill="1" applyBorder="1"/>
    <xf numFmtId="4" fontId="0" fillId="3" borderId="10" xfId="0" applyNumberFormat="1" applyFill="1" applyBorder="1"/>
    <xf numFmtId="4" fontId="0" fillId="0" borderId="0" xfId="0" applyNumberFormat="1"/>
    <xf numFmtId="3" fontId="13" fillId="5" borderId="0" xfId="0" applyNumberFormat="1" applyFont="1" applyFill="1"/>
    <xf numFmtId="0" fontId="9" fillId="0" borderId="0" xfId="0" applyFont="1"/>
    <xf numFmtId="3" fontId="13" fillId="3" borderId="0" xfId="0" applyNumberFormat="1" applyFont="1" applyFill="1"/>
    <xf numFmtId="0" fontId="13" fillId="3" borderId="0" xfId="0" applyFont="1" applyFill="1" applyAlignment="1">
      <alignment horizontal="left"/>
    </xf>
    <xf numFmtId="0" fontId="9" fillId="5" borderId="0" xfId="0" applyFont="1" applyFill="1"/>
    <xf numFmtId="0" fontId="21" fillId="0" borderId="0" xfId="0" applyFont="1" applyAlignment="1">
      <alignment horizontal="right"/>
    </xf>
    <xf numFmtId="4" fontId="21" fillId="0" borderId="0" xfId="0" applyNumberFormat="1" applyFont="1"/>
    <xf numFmtId="0" fontId="22" fillId="0" borderId="0" xfId="0" applyFont="1"/>
    <xf numFmtId="0" fontId="0" fillId="3" borderId="7" xfId="0" applyFill="1" applyBorder="1"/>
    <xf numFmtId="4" fontId="12" fillId="3" borderId="3" xfId="0" applyNumberFormat="1" applyFont="1" applyFill="1" applyBorder="1" applyAlignment="1">
      <alignment horizontal="right"/>
    </xf>
    <xf numFmtId="3" fontId="12" fillId="3" borderId="4" xfId="0" applyNumberFormat="1" applyFont="1" applyFill="1" applyBorder="1" applyAlignment="1">
      <alignment horizontal="right"/>
    </xf>
    <xf numFmtId="0" fontId="4" fillId="3" borderId="7" xfId="0" applyFont="1" applyFill="1" applyBorder="1"/>
    <xf numFmtId="0" fontId="4" fillId="3" borderId="9" xfId="0" applyFont="1" applyFill="1" applyBorder="1"/>
    <xf numFmtId="0" fontId="4" fillId="3" borderId="3" xfId="0" applyFont="1" applyFill="1" applyBorder="1"/>
    <xf numFmtId="4" fontId="12" fillId="3" borderId="12" xfId="0" applyNumberFormat="1" applyFont="1" applyFill="1" applyBorder="1"/>
    <xf numFmtId="3" fontId="12" fillId="3" borderId="12" xfId="0" applyNumberFormat="1" applyFont="1" applyFill="1" applyBorder="1"/>
    <xf numFmtId="0" fontId="0" fillId="3" borderId="0" xfId="0" applyFill="1" applyAlignment="1">
      <alignment horizontal="center"/>
    </xf>
    <xf numFmtId="0" fontId="10" fillId="3" borderId="0" xfId="0" applyFont="1" applyFill="1" applyAlignment="1">
      <alignment horizontal="center" vertical="center"/>
    </xf>
    <xf numFmtId="10" fontId="12" fillId="3" borderId="6" xfId="0" applyNumberFormat="1" applyFont="1" applyFill="1" applyBorder="1" applyAlignment="1">
      <alignment horizontal="center"/>
    </xf>
    <xf numFmtId="2" fontId="0" fillId="3" borderId="0" xfId="0" applyNumberFormat="1" applyFill="1"/>
    <xf numFmtId="0" fontId="14" fillId="3" borderId="12" xfId="0" applyFont="1" applyFill="1" applyBorder="1" applyAlignment="1">
      <alignment horizontal="right"/>
    </xf>
    <xf numFmtId="0" fontId="12" fillId="3" borderId="6" xfId="0" applyFont="1" applyFill="1" applyBorder="1" applyAlignment="1">
      <alignment horizontal="center"/>
    </xf>
    <xf numFmtId="0" fontId="23" fillId="3" borderId="0" xfId="0" applyFont="1" applyFill="1"/>
    <xf numFmtId="0" fontId="23" fillId="3" borderId="15" xfId="0" applyFont="1" applyFill="1" applyBorder="1"/>
    <xf numFmtId="4" fontId="0" fillId="4" borderId="0" xfId="0" applyNumberFormat="1" applyFill="1" applyAlignment="1">
      <alignment horizontal="right"/>
    </xf>
    <xf numFmtId="4" fontId="23" fillId="3" borderId="0" xfId="0" applyNumberFormat="1" applyFont="1" applyFill="1" applyAlignment="1">
      <alignment horizontal="right"/>
    </xf>
    <xf numFmtId="4" fontId="23" fillId="3" borderId="4" xfId="0" applyNumberFormat="1" applyFont="1" applyFill="1" applyBorder="1" applyAlignment="1">
      <alignment horizontal="right"/>
    </xf>
    <xf numFmtId="4" fontId="23" fillId="3" borderId="12" xfId="0" applyNumberFormat="1" applyFont="1" applyFill="1" applyBorder="1" applyAlignment="1">
      <alignment horizontal="right"/>
    </xf>
    <xf numFmtId="4" fontId="23" fillId="3" borderId="10" xfId="0" applyNumberFormat="1" applyFont="1" applyFill="1" applyBorder="1" applyAlignment="1">
      <alignment horizontal="right"/>
    </xf>
    <xf numFmtId="4" fontId="0" fillId="3" borderId="0" xfId="0" applyNumberFormat="1" applyFill="1" applyAlignment="1">
      <alignment horizontal="right"/>
    </xf>
    <xf numFmtId="4" fontId="23" fillId="3" borderId="0" xfId="0" applyNumberFormat="1" applyFont="1" applyFill="1"/>
    <xf numFmtId="4" fontId="23" fillId="3" borderId="12" xfId="0" applyNumberFormat="1" applyFont="1" applyFill="1" applyBorder="1"/>
    <xf numFmtId="10" fontId="23" fillId="3" borderId="0" xfId="0" applyNumberFormat="1" applyFont="1" applyFill="1" applyAlignment="1">
      <alignment horizontal="center"/>
    </xf>
    <xf numFmtId="10" fontId="23" fillId="3" borderId="4" xfId="0" applyNumberFormat="1" applyFont="1" applyFill="1" applyBorder="1" applyAlignment="1">
      <alignment horizontal="center"/>
    </xf>
    <xf numFmtId="10" fontId="23" fillId="3" borderId="12" xfId="0" applyNumberFormat="1" applyFont="1" applyFill="1" applyBorder="1" applyAlignment="1">
      <alignment horizontal="center"/>
    </xf>
    <xf numFmtId="10" fontId="23" fillId="3" borderId="10" xfId="0" applyNumberFormat="1" applyFont="1" applyFill="1" applyBorder="1" applyAlignment="1">
      <alignment horizontal="center"/>
    </xf>
    <xf numFmtId="10" fontId="23" fillId="3" borderId="9" xfId="0" applyNumberFormat="1" applyFont="1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4" fontId="4" fillId="6" borderId="5" xfId="0" applyNumberFormat="1" applyFont="1" applyFill="1" applyBorder="1" applyAlignment="1">
      <alignment horizontal="center"/>
    </xf>
    <xf numFmtId="0" fontId="11" fillId="3" borderId="0" xfId="0" applyFont="1" applyFill="1"/>
    <xf numFmtId="1" fontId="4" fillId="3" borderId="0" xfId="0" applyNumberFormat="1" applyFont="1" applyFill="1" applyAlignment="1">
      <alignment horizontal="center"/>
    </xf>
    <xf numFmtId="0" fontId="0" fillId="7" borderId="0" xfId="0" applyFill="1"/>
    <xf numFmtId="10" fontId="12" fillId="5" borderId="7" xfId="0" applyNumberFormat="1" applyFont="1" applyFill="1" applyBorder="1"/>
    <xf numFmtId="0" fontId="26" fillId="3" borderId="0" xfId="0" applyFont="1" applyFill="1"/>
    <xf numFmtId="4" fontId="21" fillId="3" borderId="0" xfId="0" applyNumberFormat="1" applyFont="1" applyFill="1" applyAlignment="1">
      <alignment horizontal="left"/>
    </xf>
    <xf numFmtId="0" fontId="12" fillId="3" borderId="0" xfId="0" applyFont="1" applyFill="1" applyAlignment="1">
      <alignment horizontal="center"/>
    </xf>
    <xf numFmtId="4" fontId="12" fillId="3" borderId="4" xfId="0" applyNumberFormat="1" applyFont="1" applyFill="1" applyBorder="1"/>
    <xf numFmtId="4" fontId="13" fillId="4" borderId="4" xfId="0" applyNumberFormat="1" applyFont="1" applyFill="1" applyBorder="1"/>
    <xf numFmtId="14" fontId="12" fillId="3" borderId="0" xfId="0" applyNumberFormat="1" applyFont="1" applyFill="1" applyAlignment="1">
      <alignment horizontal="center"/>
    </xf>
    <xf numFmtId="0" fontId="1" fillId="3" borderId="0" xfId="0" applyFont="1" applyFill="1"/>
    <xf numFmtId="0" fontId="27" fillId="3" borderId="0" xfId="0" applyFont="1" applyFill="1"/>
    <xf numFmtId="0" fontId="27" fillId="0" borderId="0" xfId="0" applyFont="1"/>
    <xf numFmtId="0" fontId="27" fillId="3" borderId="0" xfId="0" applyFont="1" applyFill="1" applyAlignment="1">
      <alignment horizontal="left"/>
    </xf>
    <xf numFmtId="0" fontId="29" fillId="0" borderId="0" xfId="0" applyFont="1"/>
    <xf numFmtId="14" fontId="11" fillId="3" borderId="0" xfId="0" applyNumberFormat="1" applyFont="1" applyFill="1" applyAlignment="1">
      <alignment horizontal="center"/>
    </xf>
    <xf numFmtId="14" fontId="11" fillId="3" borderId="0" xfId="0" applyNumberFormat="1" applyFont="1" applyFill="1" applyAlignment="1">
      <alignment horizontal="left"/>
    </xf>
    <xf numFmtId="0" fontId="30" fillId="3" borderId="0" xfId="0" applyFont="1" applyFill="1" applyAlignment="1">
      <alignment horizontal="center"/>
    </xf>
    <xf numFmtId="0" fontId="11" fillId="3" borderId="0" xfId="0" applyFont="1" applyFill="1" applyAlignment="1">
      <alignment horizontal="center"/>
    </xf>
    <xf numFmtId="4" fontId="28" fillId="3" borderId="0" xfId="0" applyNumberFormat="1" applyFont="1" applyFill="1" applyAlignment="1">
      <alignment horizontal="right"/>
    </xf>
    <xf numFmtId="4" fontId="25" fillId="3" borderId="11" xfId="0" applyNumberFormat="1" applyFont="1" applyFill="1" applyBorder="1" applyAlignment="1">
      <alignment horizontal="center"/>
    </xf>
    <xf numFmtId="4" fontId="25" fillId="3" borderId="0" xfId="0" applyNumberFormat="1" applyFont="1" applyFill="1" applyAlignment="1">
      <alignment horizontal="center"/>
    </xf>
    <xf numFmtId="4" fontId="30" fillId="3" borderId="0" xfId="0" applyNumberFormat="1" applyFont="1" applyFill="1"/>
    <xf numFmtId="10" fontId="11" fillId="3" borderId="0" xfId="0" applyNumberFormat="1" applyFont="1" applyFill="1" applyAlignment="1">
      <alignment horizontal="right"/>
    </xf>
    <xf numFmtId="1" fontId="11" fillId="3" borderId="0" xfId="0" applyNumberFormat="1" applyFont="1" applyFill="1" applyAlignment="1">
      <alignment horizontal="right"/>
    </xf>
    <xf numFmtId="0" fontId="31" fillId="3" borderId="0" xfId="0" applyFont="1" applyFill="1"/>
    <xf numFmtId="10" fontId="28" fillId="3" borderId="11" xfId="0" applyNumberFormat="1" applyFont="1" applyFill="1" applyBorder="1" applyAlignment="1">
      <alignment horizontal="right"/>
    </xf>
    <xf numFmtId="1" fontId="28" fillId="3" borderId="11" xfId="0" applyNumberFormat="1" applyFont="1" applyFill="1" applyBorder="1" applyAlignment="1">
      <alignment horizontal="right"/>
    </xf>
    <xf numFmtId="4" fontId="28" fillId="3" borderId="0" xfId="0" applyNumberFormat="1" applyFont="1" applyFill="1"/>
    <xf numFmtId="10" fontId="28" fillId="3" borderId="0" xfId="0" applyNumberFormat="1" applyFont="1" applyFill="1" applyAlignment="1">
      <alignment horizontal="right"/>
    </xf>
    <xf numFmtId="1" fontId="28" fillId="3" borderId="0" xfId="0" applyNumberFormat="1" applyFont="1" applyFill="1" applyAlignment="1">
      <alignment horizontal="right"/>
    </xf>
    <xf numFmtId="16" fontId="11" fillId="3" borderId="0" xfId="0" applyNumberFormat="1" applyFont="1" applyFill="1"/>
    <xf numFmtId="10" fontId="11" fillId="3" borderId="0" xfId="0" applyNumberFormat="1" applyFont="1" applyFill="1"/>
    <xf numFmtId="1" fontId="11" fillId="3" borderId="0" xfId="0" applyNumberFormat="1" applyFont="1" applyFill="1"/>
    <xf numFmtId="0" fontId="19" fillId="3" borderId="12" xfId="0" applyFont="1" applyFill="1" applyBorder="1" applyAlignment="1">
      <alignment horizontal="center"/>
    </xf>
    <xf numFmtId="0" fontId="19" fillId="3" borderId="8" xfId="0" applyFont="1" applyFill="1" applyBorder="1" applyAlignment="1">
      <alignment horizontal="center"/>
    </xf>
    <xf numFmtId="0" fontId="19" fillId="3" borderId="5" xfId="0" applyFont="1" applyFill="1" applyBorder="1" applyAlignment="1">
      <alignment horizontal="center"/>
    </xf>
    <xf numFmtId="0" fontId="19" fillId="5" borderId="5" xfId="0" applyFont="1" applyFill="1" applyBorder="1" applyAlignment="1">
      <alignment horizontal="center"/>
    </xf>
    <xf numFmtId="0" fontId="27" fillId="3" borderId="6" xfId="0" applyFont="1" applyFill="1" applyBorder="1"/>
    <xf numFmtId="0" fontId="11" fillId="3" borderId="3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/>
    </xf>
    <xf numFmtId="0" fontId="27" fillId="3" borderId="7" xfId="0" applyFont="1" applyFill="1" applyBorder="1"/>
    <xf numFmtId="4" fontId="11" fillId="3" borderId="3" xfId="0" applyNumberFormat="1" applyFont="1" applyFill="1" applyBorder="1" applyAlignment="1">
      <alignment horizontal="right"/>
    </xf>
    <xf numFmtId="3" fontId="11" fillId="3" borderId="4" xfId="0" applyNumberFormat="1" applyFont="1" applyFill="1" applyBorder="1" applyAlignment="1">
      <alignment horizontal="right"/>
    </xf>
    <xf numFmtId="0" fontId="11" fillId="3" borderId="7" xfId="0" applyFont="1" applyFill="1" applyBorder="1"/>
    <xf numFmtId="4" fontId="11" fillId="3" borderId="3" xfId="0" applyNumberFormat="1" applyFont="1" applyFill="1" applyBorder="1"/>
    <xf numFmtId="3" fontId="11" fillId="3" borderId="4" xfId="0" applyNumberFormat="1" applyFont="1" applyFill="1" applyBorder="1"/>
    <xf numFmtId="0" fontId="11" fillId="3" borderId="3" xfId="0" applyFont="1" applyFill="1" applyBorder="1"/>
    <xf numFmtId="4" fontId="11" fillId="3" borderId="0" xfId="0" applyNumberFormat="1" applyFont="1" applyFill="1"/>
    <xf numFmtId="0" fontId="11" fillId="3" borderId="9" xfId="0" applyFont="1" applyFill="1" applyBorder="1"/>
    <xf numFmtId="4" fontId="11" fillId="3" borderId="9" xfId="0" applyNumberFormat="1" applyFont="1" applyFill="1" applyBorder="1"/>
    <xf numFmtId="3" fontId="11" fillId="3" borderId="10" xfId="0" applyNumberFormat="1" applyFont="1" applyFill="1" applyBorder="1"/>
    <xf numFmtId="4" fontId="11" fillId="3" borderId="12" xfId="0" applyNumberFormat="1" applyFont="1" applyFill="1" applyBorder="1"/>
    <xf numFmtId="4" fontId="11" fillId="4" borderId="0" xfId="0" applyNumberFormat="1" applyFont="1" applyFill="1"/>
    <xf numFmtId="3" fontId="11" fillId="4" borderId="0" xfId="0" applyNumberFormat="1" applyFont="1" applyFill="1"/>
    <xf numFmtId="4" fontId="12" fillId="3" borderId="8" xfId="0" applyNumberFormat="1" applyFont="1" applyFill="1" applyBorder="1"/>
    <xf numFmtId="1" fontId="12" fillId="3" borderId="4" xfId="0" applyNumberFormat="1" applyFont="1" applyFill="1" applyBorder="1"/>
    <xf numFmtId="1" fontId="13" fillId="4" borderId="4" xfId="0" applyNumberFormat="1" applyFont="1" applyFill="1" applyBorder="1"/>
    <xf numFmtId="1" fontId="12" fillId="3" borderId="8" xfId="0" applyNumberFormat="1" applyFont="1" applyFill="1" applyBorder="1"/>
    <xf numFmtId="3" fontId="12" fillId="3" borderId="10" xfId="0" applyNumberFormat="1" applyFont="1" applyFill="1" applyBorder="1" applyAlignment="1">
      <alignment horizontal="right"/>
    </xf>
    <xf numFmtId="4" fontId="0" fillId="0" borderId="1" xfId="0" applyNumberFormat="1" applyBorder="1"/>
    <xf numFmtId="0" fontId="13" fillId="5" borderId="8" xfId="0" applyFont="1" applyFill="1" applyBorder="1" applyAlignment="1">
      <alignment horizontal="center"/>
    </xf>
    <xf numFmtId="1" fontId="12" fillId="3" borderId="7" xfId="0" applyNumberFormat="1" applyFont="1" applyFill="1" applyBorder="1"/>
    <xf numFmtId="0" fontId="12" fillId="3" borderId="7" xfId="0" applyFont="1" applyFill="1" applyBorder="1" applyAlignment="1">
      <alignment horizontal="right"/>
    </xf>
    <xf numFmtId="3" fontId="12" fillId="3" borderId="7" xfId="0" applyNumberFormat="1" applyFont="1" applyFill="1" applyBorder="1"/>
    <xf numFmtId="1" fontId="13" fillId="4" borderId="7" xfId="0" applyNumberFormat="1" applyFont="1" applyFill="1" applyBorder="1"/>
    <xf numFmtId="3" fontId="12" fillId="3" borderId="8" xfId="0" applyNumberFormat="1" applyFont="1" applyFill="1" applyBorder="1"/>
    <xf numFmtId="1" fontId="13" fillId="4" borderId="0" xfId="0" applyNumberFormat="1" applyFont="1" applyFill="1"/>
    <xf numFmtId="4" fontId="12" fillId="3" borderId="10" xfId="0" applyNumberFormat="1" applyFont="1" applyFill="1" applyBorder="1"/>
    <xf numFmtId="4" fontId="16" fillId="3" borderId="18" xfId="0" applyNumberFormat="1" applyFont="1" applyFill="1" applyBorder="1" applyAlignment="1">
      <alignment horizontal="right"/>
    </xf>
    <xf numFmtId="1" fontId="4" fillId="3" borderId="0" xfId="0" applyNumberFormat="1" applyFont="1" applyFill="1" applyAlignment="1">
      <alignment horizontal="left"/>
    </xf>
    <xf numFmtId="4" fontId="12" fillId="4" borderId="4" xfId="0" applyNumberFormat="1" applyFont="1" applyFill="1" applyBorder="1"/>
    <xf numFmtId="4" fontId="4" fillId="8" borderId="0" xfId="0" applyNumberFormat="1" applyFont="1" applyFill="1" applyAlignment="1">
      <alignment horizontal="right"/>
    </xf>
    <xf numFmtId="4" fontId="0" fillId="8" borderId="0" xfId="0" applyNumberFormat="1" applyFill="1"/>
    <xf numFmtId="4" fontId="0" fillId="8" borderId="0" xfId="0" applyNumberFormat="1" applyFill="1" applyAlignment="1">
      <alignment horizontal="right"/>
    </xf>
    <xf numFmtId="3" fontId="12" fillId="3" borderId="7" xfId="0" applyNumberFormat="1" applyFont="1" applyFill="1" applyBorder="1" applyAlignment="1">
      <alignment horizontal="right"/>
    </xf>
    <xf numFmtId="1" fontId="12" fillId="4" borderId="4" xfId="0" applyNumberFormat="1" applyFont="1" applyFill="1" applyBorder="1"/>
    <xf numFmtId="14" fontId="4" fillId="0" borderId="19" xfId="0" applyNumberFormat="1" applyFont="1" applyBorder="1" applyAlignment="1">
      <alignment horizontal="center"/>
    </xf>
    <xf numFmtId="2" fontId="12" fillId="3" borderId="4" xfId="0" applyNumberFormat="1" applyFont="1" applyFill="1" applyBorder="1"/>
    <xf numFmtId="0" fontId="4" fillId="0" borderId="0" xfId="0" applyFont="1" applyAlignment="1">
      <alignment horizontal="left"/>
    </xf>
    <xf numFmtId="0" fontId="0" fillId="3" borderId="0" xfId="0" applyFill="1" applyAlignment="1">
      <alignment horizontal="center" vertical="top"/>
    </xf>
    <xf numFmtId="4" fontId="0" fillId="9" borderId="0" xfId="0" applyNumberFormat="1" applyFill="1"/>
    <xf numFmtId="0" fontId="0" fillId="10" borderId="0" xfId="0" applyFill="1"/>
    <xf numFmtId="0" fontId="14" fillId="3" borderId="0" xfId="0" applyFont="1" applyFill="1" applyAlignment="1">
      <alignment horizontal="center"/>
    </xf>
    <xf numFmtId="0" fontId="13" fillId="5" borderId="0" xfId="0" applyFont="1" applyFill="1" applyAlignment="1">
      <alignment horizontal="center" vertical="center" wrapText="1"/>
    </xf>
    <xf numFmtId="3" fontId="12" fillId="3" borderId="8" xfId="0" applyNumberFormat="1" applyFont="1" applyFill="1" applyBorder="1" applyAlignment="1">
      <alignment horizontal="right"/>
    </xf>
    <xf numFmtId="3" fontId="11" fillId="3" borderId="8" xfId="0" applyNumberFormat="1" applyFont="1" applyFill="1" applyBorder="1"/>
    <xf numFmtId="0" fontId="3" fillId="10" borderId="0" xfId="0" applyFont="1" applyFill="1" applyAlignment="1">
      <alignment horizontal="center"/>
    </xf>
    <xf numFmtId="0" fontId="0" fillId="10" borderId="0" xfId="0" applyFill="1" applyAlignment="1">
      <alignment horizontal="left"/>
    </xf>
    <xf numFmtId="0" fontId="3" fillId="10" borderId="0" xfId="0" applyFont="1" applyFill="1" applyAlignment="1">
      <alignment horizontal="left"/>
    </xf>
    <xf numFmtId="0" fontId="4" fillId="10" borderId="0" xfId="0" applyFont="1" applyFill="1"/>
    <xf numFmtId="0" fontId="2" fillId="10" borderId="0" xfId="0" applyFont="1" applyFill="1" applyAlignment="1">
      <alignment horizontal="center"/>
    </xf>
    <xf numFmtId="0" fontId="6" fillId="10" borderId="0" xfId="0" applyFont="1" applyFill="1" applyAlignment="1">
      <alignment horizontal="center"/>
    </xf>
    <xf numFmtId="14" fontId="4" fillId="10" borderId="0" xfId="0" applyNumberFormat="1" applyFont="1" applyFill="1" applyAlignment="1">
      <alignment horizontal="left"/>
    </xf>
    <xf numFmtId="4" fontId="6" fillId="10" borderId="0" xfId="0" applyNumberFormat="1" applyFont="1" applyFill="1"/>
    <xf numFmtId="0" fontId="8" fillId="10" borderId="0" xfId="0" applyFont="1" applyFill="1"/>
    <xf numFmtId="4" fontId="8" fillId="10" borderId="0" xfId="0" applyNumberFormat="1" applyFont="1" applyFill="1"/>
    <xf numFmtId="0" fontId="7" fillId="10" borderId="0" xfId="0" applyFont="1" applyFill="1"/>
    <xf numFmtId="0" fontId="6" fillId="10" borderId="0" xfId="0" applyFont="1" applyFill="1" applyAlignment="1">
      <alignment horizontal="left"/>
    </xf>
    <xf numFmtId="10" fontId="4" fillId="10" borderId="0" xfId="0" applyNumberFormat="1" applyFont="1" applyFill="1"/>
    <xf numFmtId="1" fontId="4" fillId="10" borderId="0" xfId="0" applyNumberFormat="1" applyFont="1" applyFill="1"/>
    <xf numFmtId="0" fontId="6" fillId="10" borderId="0" xfId="0" applyFont="1" applyFill="1" applyAlignment="1">
      <alignment horizontal="right"/>
    </xf>
    <xf numFmtId="1" fontId="6" fillId="10" borderId="0" xfId="0" applyNumberFormat="1" applyFont="1" applyFill="1"/>
    <xf numFmtId="0" fontId="9" fillId="10" borderId="0" xfId="0" applyFont="1" applyFill="1"/>
    <xf numFmtId="0" fontId="5" fillId="10" borderId="0" xfId="0" applyFont="1" applyFill="1" applyAlignment="1">
      <alignment horizontal="left"/>
    </xf>
    <xf numFmtId="0" fontId="5" fillId="10" borderId="0" xfId="0" applyFont="1" applyFill="1" applyAlignment="1">
      <alignment horizontal="center"/>
    </xf>
    <xf numFmtId="0" fontId="5" fillId="10" borderId="0" xfId="0" applyFont="1" applyFill="1" applyAlignment="1">
      <alignment horizontal="right"/>
    </xf>
    <xf numFmtId="4" fontId="5" fillId="10" borderId="0" xfId="0" applyNumberFormat="1" applyFont="1" applyFill="1"/>
    <xf numFmtId="1" fontId="5" fillId="10" borderId="0" xfId="0" applyNumberFormat="1" applyFont="1" applyFill="1"/>
    <xf numFmtId="0" fontId="2" fillId="10" borderId="0" xfId="0" applyFont="1" applyFill="1" applyAlignment="1">
      <alignment horizontal="left"/>
    </xf>
    <xf numFmtId="4" fontId="35" fillId="10" borderId="0" xfId="0" applyNumberFormat="1" applyFont="1" applyFill="1"/>
    <xf numFmtId="3" fontId="35" fillId="10" borderId="0" xfId="0" applyNumberFormat="1" applyFont="1" applyFill="1" applyAlignment="1">
      <alignment horizontal="left"/>
    </xf>
    <xf numFmtId="0" fontId="36" fillId="10" borderId="0" xfId="0" applyFont="1" applyFill="1" applyAlignment="1">
      <alignment horizontal="left"/>
    </xf>
    <xf numFmtId="4" fontId="21" fillId="4" borderId="0" xfId="0" applyNumberFormat="1" applyFont="1" applyFill="1" applyAlignment="1">
      <alignment horizontal="center"/>
    </xf>
    <xf numFmtId="0" fontId="0" fillId="11" borderId="0" xfId="0" applyFill="1"/>
    <xf numFmtId="0" fontId="0" fillId="9" borderId="0" xfId="0" applyFill="1"/>
    <xf numFmtId="0" fontId="27" fillId="9" borderId="0" xfId="0" applyFont="1" applyFill="1"/>
    <xf numFmtId="0" fontId="0" fillId="12" borderId="0" xfId="0" applyFill="1"/>
    <xf numFmtId="0" fontId="27" fillId="11" borderId="0" xfId="0" applyFont="1" applyFill="1"/>
    <xf numFmtId="0" fontId="27" fillId="7" borderId="0" xfId="0" applyFont="1" applyFill="1"/>
    <xf numFmtId="0" fontId="27" fillId="13" borderId="0" xfId="0" applyFont="1" applyFill="1"/>
    <xf numFmtId="0" fontId="4" fillId="10" borderId="0" xfId="0" applyFont="1" applyFill="1" applyAlignment="1">
      <alignment horizontal="left"/>
    </xf>
    <xf numFmtId="4" fontId="4" fillId="3" borderId="0" xfId="0" applyNumberFormat="1" applyFont="1" applyFill="1" applyAlignment="1">
      <alignment horizontal="right"/>
    </xf>
    <xf numFmtId="0" fontId="36" fillId="10" borderId="0" xfId="0" applyFont="1" applyFill="1" applyAlignment="1">
      <alignment horizontal="right"/>
    </xf>
    <xf numFmtId="0" fontId="16" fillId="3" borderId="0" xfId="0" applyFont="1" applyFill="1" applyAlignment="1">
      <alignment horizontal="center"/>
    </xf>
    <xf numFmtId="0" fontId="17" fillId="3" borderId="0" xfId="0" applyFont="1" applyFill="1" applyAlignment="1">
      <alignment horizontal="center"/>
    </xf>
    <xf numFmtId="4" fontId="4" fillId="10" borderId="0" xfId="0" applyNumberFormat="1" applyFont="1" applyFill="1"/>
    <xf numFmtId="0" fontId="16" fillId="3" borderId="11" xfId="0" applyFont="1" applyFill="1" applyBorder="1" applyAlignment="1">
      <alignment horizontal="center"/>
    </xf>
    <xf numFmtId="4" fontId="4" fillId="3" borderId="17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center"/>
    </xf>
    <xf numFmtId="0" fontId="12" fillId="3" borderId="0" xfId="0" applyFont="1" applyFill="1" applyAlignment="1">
      <alignment horizontal="left"/>
    </xf>
    <xf numFmtId="0" fontId="12" fillId="10" borderId="0" xfId="0" applyFont="1" applyFill="1"/>
    <xf numFmtId="0" fontId="11" fillId="3" borderId="0" xfId="0" applyFont="1" applyFill="1" applyAlignment="1">
      <alignment horizontal="left"/>
    </xf>
    <xf numFmtId="4" fontId="11" fillId="3" borderId="0" xfId="0" applyNumberFormat="1" applyFont="1" applyFill="1" applyAlignment="1">
      <alignment horizontal="right"/>
    </xf>
    <xf numFmtId="0" fontId="28" fillId="3" borderId="11" xfId="0" applyFont="1" applyFill="1" applyBorder="1" applyAlignment="1">
      <alignment horizontal="center"/>
    </xf>
    <xf numFmtId="0" fontId="28" fillId="3" borderId="0" xfId="0" applyFont="1" applyFill="1" applyAlignment="1">
      <alignment horizontal="center"/>
    </xf>
    <xf numFmtId="0" fontId="19" fillId="3" borderId="0" xfId="0" applyFont="1" applyFill="1" applyAlignment="1">
      <alignment horizontal="center"/>
    </xf>
    <xf numFmtId="0" fontId="0" fillId="0" borderId="0" xfId="0" applyAlignment="1">
      <alignment horizontal="left"/>
    </xf>
    <xf numFmtId="0" fontId="14" fillId="5" borderId="16" xfId="0" applyFont="1" applyFill="1" applyBorder="1" applyAlignment="1">
      <alignment horizontal="center"/>
    </xf>
    <xf numFmtId="0" fontId="13" fillId="5" borderId="6" xfId="0" applyFont="1" applyFill="1" applyBorder="1" applyAlignment="1">
      <alignment horizontal="center" vertical="center" wrapText="1"/>
    </xf>
    <xf numFmtId="0" fontId="13" fillId="5" borderId="8" xfId="0" applyFont="1" applyFill="1" applyBorder="1" applyAlignment="1">
      <alignment horizontal="center" vertical="center" wrapText="1"/>
    </xf>
    <xf numFmtId="0" fontId="24" fillId="3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12" fillId="3" borderId="6" xfId="0" applyFont="1" applyFill="1" applyBorder="1" applyAlignment="1">
      <alignment horizontal="right"/>
    </xf>
    <xf numFmtId="4" fontId="11" fillId="3" borderId="7" xfId="0" applyNumberFormat="1" applyFont="1" applyFill="1" applyBorder="1" applyAlignment="1">
      <alignment horizontal="right"/>
    </xf>
    <xf numFmtId="4" fontId="11" fillId="3" borderId="7" xfId="0" applyNumberFormat="1" applyFont="1" applyFill="1" applyBorder="1"/>
    <xf numFmtId="0" fontId="0" fillId="14" borderId="0" xfId="0" applyFill="1"/>
    <xf numFmtId="1" fontId="12" fillId="3" borderId="10" xfId="0" applyNumberFormat="1" applyFont="1" applyFill="1" applyBorder="1"/>
    <xf numFmtId="0" fontId="27" fillId="15" borderId="0" xfId="0" applyFont="1" applyFill="1"/>
    <xf numFmtId="0" fontId="34" fillId="16" borderId="0" xfId="0" applyFont="1" applyFill="1"/>
    <xf numFmtId="0" fontId="0" fillId="16" borderId="0" xfId="0" applyFill="1"/>
    <xf numFmtId="4" fontId="35" fillId="10" borderId="0" xfId="0" applyNumberFormat="1" applyFont="1" applyFill="1" applyAlignment="1">
      <alignment horizontal="right"/>
    </xf>
    <xf numFmtId="0" fontId="4" fillId="10" borderId="0" xfId="0" applyFont="1" applyFill="1" applyAlignment="1">
      <alignment horizontal="left"/>
    </xf>
    <xf numFmtId="0" fontId="16" fillId="3" borderId="11" xfId="0" applyFont="1" applyFill="1" applyBorder="1" applyAlignment="1">
      <alignment horizontal="center"/>
    </xf>
    <xf numFmtId="0" fontId="4" fillId="3" borderId="0" xfId="0" applyFont="1" applyFill="1" applyAlignment="1">
      <alignment vertical="top"/>
    </xf>
    <xf numFmtId="4" fontId="4" fillId="3" borderId="0" xfId="0" applyNumberFormat="1" applyFont="1" applyFill="1" applyAlignment="1">
      <alignment horizontal="right"/>
    </xf>
    <xf numFmtId="0" fontId="16" fillId="3" borderId="20" xfId="0" applyFont="1" applyFill="1" applyBorder="1" applyAlignment="1">
      <alignment horizontal="center"/>
    </xf>
    <xf numFmtId="0" fontId="16" fillId="3" borderId="21" xfId="0" applyFont="1" applyFill="1" applyBorder="1" applyAlignment="1">
      <alignment horizontal="center"/>
    </xf>
    <xf numFmtId="0" fontId="16" fillId="3" borderId="22" xfId="0" applyFont="1" applyFill="1" applyBorder="1" applyAlignment="1">
      <alignment horizontal="center"/>
    </xf>
    <xf numFmtId="0" fontId="16" fillId="3" borderId="23" xfId="0" applyFont="1" applyFill="1" applyBorder="1" applyAlignment="1">
      <alignment horizontal="center"/>
    </xf>
    <xf numFmtId="4" fontId="4" fillId="3" borderId="17" xfId="0" applyNumberFormat="1" applyFont="1" applyFill="1" applyBorder="1" applyAlignment="1">
      <alignment horizontal="right"/>
    </xf>
    <xf numFmtId="0" fontId="19" fillId="3" borderId="14" xfId="0" applyFont="1" applyFill="1" applyBorder="1" applyAlignment="1">
      <alignment horizontal="center"/>
    </xf>
    <xf numFmtId="0" fontId="19" fillId="3" borderId="25" xfId="0" applyFont="1" applyFill="1" applyBorder="1" applyAlignment="1">
      <alignment horizontal="center"/>
    </xf>
    <xf numFmtId="4" fontId="16" fillId="3" borderId="11" xfId="0" applyNumberFormat="1" applyFont="1" applyFill="1" applyBorder="1" applyAlignment="1">
      <alignment horizontal="right"/>
    </xf>
    <xf numFmtId="0" fontId="17" fillId="3" borderId="0" xfId="0" applyFont="1" applyFill="1" applyAlignment="1">
      <alignment horizontal="center"/>
    </xf>
    <xf numFmtId="0" fontId="4" fillId="3" borderId="24" xfId="0" applyFont="1" applyFill="1" applyBorder="1" applyAlignment="1">
      <alignment horizontal="left"/>
    </xf>
    <xf numFmtId="4" fontId="16" fillId="3" borderId="26" xfId="0" applyNumberFormat="1" applyFont="1" applyFill="1" applyBorder="1" applyAlignment="1">
      <alignment horizontal="right"/>
    </xf>
    <xf numFmtId="4" fontId="16" fillId="3" borderId="23" xfId="0" applyNumberFormat="1" applyFont="1" applyFill="1" applyBorder="1" applyAlignment="1">
      <alignment horizontal="right"/>
    </xf>
    <xf numFmtId="0" fontId="16" fillId="3" borderId="0" xfId="0" applyFont="1" applyFill="1" applyAlignment="1">
      <alignment horizontal="center"/>
    </xf>
    <xf numFmtId="4" fontId="4" fillId="3" borderId="24" xfId="0" applyNumberFormat="1" applyFont="1" applyFill="1" applyBorder="1" applyAlignment="1">
      <alignment horizontal="right"/>
    </xf>
    <xf numFmtId="0" fontId="36" fillId="10" borderId="0" xfId="0" applyFont="1" applyFill="1" applyAlignment="1">
      <alignment horizontal="right"/>
    </xf>
    <xf numFmtId="4" fontId="4" fillId="3" borderId="27" xfId="0" applyNumberFormat="1" applyFont="1" applyFill="1" applyBorder="1" applyAlignment="1">
      <alignment horizontal="right"/>
    </xf>
    <xf numFmtId="4" fontId="4" fillId="3" borderId="28" xfId="0" applyNumberFormat="1" applyFont="1" applyFill="1" applyBorder="1" applyAlignment="1">
      <alignment horizontal="right"/>
    </xf>
    <xf numFmtId="0" fontId="13" fillId="5" borderId="14" xfId="0" applyFont="1" applyFill="1" applyBorder="1" applyAlignment="1">
      <alignment horizontal="center"/>
    </xf>
    <xf numFmtId="0" fontId="13" fillId="5" borderId="25" xfId="0" applyFont="1" applyFill="1" applyBorder="1" applyAlignment="1">
      <alignment horizontal="center"/>
    </xf>
    <xf numFmtId="0" fontId="14" fillId="3" borderId="14" xfId="0" applyFont="1" applyFill="1" applyBorder="1" applyAlignment="1">
      <alignment horizontal="center"/>
    </xf>
    <xf numFmtId="0" fontId="14" fillId="3" borderId="16" xfId="0" applyFont="1" applyFill="1" applyBorder="1" applyAlignment="1">
      <alignment horizontal="center"/>
    </xf>
    <xf numFmtId="0" fontId="14" fillId="3" borderId="25" xfId="0" applyFont="1" applyFill="1" applyBorder="1" applyAlignment="1">
      <alignment horizontal="center"/>
    </xf>
    <xf numFmtId="0" fontId="21" fillId="3" borderId="0" xfId="0" applyFont="1" applyFill="1" applyAlignment="1">
      <alignment horizontal="center"/>
    </xf>
    <xf numFmtId="4" fontId="4" fillId="0" borderId="24" xfId="0" applyNumberFormat="1" applyFont="1" applyBorder="1" applyAlignment="1">
      <alignment horizontal="right"/>
    </xf>
    <xf numFmtId="4" fontId="4" fillId="0" borderId="29" xfId="0" applyNumberFormat="1" applyFont="1" applyBorder="1" applyAlignment="1">
      <alignment horizontal="right"/>
    </xf>
    <xf numFmtId="0" fontId="4" fillId="0" borderId="30" xfId="0" applyFont="1" applyBorder="1" applyAlignment="1">
      <alignment horizontal="left"/>
    </xf>
    <xf numFmtId="0" fontId="4" fillId="0" borderId="24" xfId="0" applyFont="1" applyBorder="1" applyAlignment="1">
      <alignment horizontal="left"/>
    </xf>
    <xf numFmtId="4" fontId="12" fillId="3" borderId="0" xfId="0" applyNumberFormat="1" applyFont="1" applyFill="1" applyAlignment="1">
      <alignment horizontal="right"/>
    </xf>
    <xf numFmtId="0" fontId="12" fillId="3" borderId="0" xfId="0" applyFont="1" applyFill="1" applyAlignment="1">
      <alignment horizontal="left"/>
    </xf>
    <xf numFmtId="4" fontId="12" fillId="3" borderId="17" xfId="0" applyNumberFormat="1" applyFont="1" applyFill="1" applyBorder="1" applyAlignment="1">
      <alignment horizontal="right"/>
    </xf>
    <xf numFmtId="4" fontId="4" fillId="3" borderId="0" xfId="0" applyNumberFormat="1" applyFont="1" applyFill="1" applyAlignment="1">
      <alignment horizontal="left"/>
    </xf>
    <xf numFmtId="0" fontId="28" fillId="3" borderId="11" xfId="0" applyFont="1" applyFill="1" applyBorder="1" applyAlignment="1">
      <alignment horizontal="center"/>
    </xf>
    <xf numFmtId="0" fontId="11" fillId="3" borderId="0" xfId="0" applyFont="1" applyFill="1" applyAlignment="1">
      <alignment horizontal="left"/>
    </xf>
    <xf numFmtId="4" fontId="11" fillId="3" borderId="0" xfId="0" applyNumberFormat="1" applyFont="1" applyFill="1" applyAlignment="1">
      <alignment horizontal="center"/>
    </xf>
    <xf numFmtId="4" fontId="11" fillId="3" borderId="0" xfId="0" applyNumberFormat="1" applyFont="1" applyFill="1" applyAlignment="1">
      <alignment horizontal="right"/>
    </xf>
    <xf numFmtId="0" fontId="28" fillId="3" borderId="20" xfId="0" applyFont="1" applyFill="1" applyBorder="1" applyAlignment="1">
      <alignment horizontal="center"/>
    </xf>
    <xf numFmtId="0" fontId="28" fillId="3" borderId="21" xfId="0" applyFont="1" applyFill="1" applyBorder="1" applyAlignment="1">
      <alignment horizontal="center"/>
    </xf>
    <xf numFmtId="0" fontId="28" fillId="3" borderId="22" xfId="0" applyFont="1" applyFill="1" applyBorder="1" applyAlignment="1">
      <alignment horizontal="center"/>
    </xf>
    <xf numFmtId="0" fontId="28" fillId="3" borderId="23" xfId="0" applyFont="1" applyFill="1" applyBorder="1" applyAlignment="1">
      <alignment horizontal="center"/>
    </xf>
    <xf numFmtId="4" fontId="28" fillId="3" borderId="11" xfId="0" applyNumberFormat="1" applyFont="1" applyFill="1" applyBorder="1" applyAlignment="1">
      <alignment horizontal="right"/>
    </xf>
    <xf numFmtId="0" fontId="19" fillId="3" borderId="0" xfId="0" applyFont="1" applyFill="1" applyAlignment="1">
      <alignment horizontal="center"/>
    </xf>
    <xf numFmtId="4" fontId="11" fillId="3" borderId="24" xfId="0" applyNumberFormat="1" applyFont="1" applyFill="1" applyBorder="1" applyAlignment="1">
      <alignment horizontal="right"/>
    </xf>
    <xf numFmtId="0" fontId="28" fillId="3" borderId="0" xfId="0" applyFont="1" applyFill="1" applyAlignment="1">
      <alignment horizontal="center"/>
    </xf>
    <xf numFmtId="4" fontId="28" fillId="3" borderId="26" xfId="0" applyNumberFormat="1" applyFont="1" applyFill="1" applyBorder="1" applyAlignment="1">
      <alignment horizontal="right"/>
    </xf>
    <xf numFmtId="4" fontId="28" fillId="3" borderId="23" xfId="0" applyNumberFormat="1" applyFont="1" applyFill="1" applyBorder="1" applyAlignment="1">
      <alignment horizontal="right"/>
    </xf>
    <xf numFmtId="0" fontId="11" fillId="3" borderId="24" xfId="0" applyFont="1" applyFill="1" applyBorder="1" applyAlignment="1">
      <alignment horizontal="left"/>
    </xf>
    <xf numFmtId="0" fontId="16" fillId="3" borderId="26" xfId="0" applyFont="1" applyFill="1" applyBorder="1" applyAlignment="1">
      <alignment horizontal="center"/>
    </xf>
    <xf numFmtId="0" fontId="16" fillId="3" borderId="18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13" fillId="5" borderId="6" xfId="0" applyFont="1" applyFill="1" applyBorder="1" applyAlignment="1">
      <alignment horizontal="center" vertical="top" wrapText="1"/>
    </xf>
    <xf numFmtId="0" fontId="13" fillId="5" borderId="8" xfId="0" applyFont="1" applyFill="1" applyBorder="1" applyAlignment="1">
      <alignment horizontal="center" vertical="top" wrapText="1"/>
    </xf>
    <xf numFmtId="4" fontId="12" fillId="3" borderId="0" xfId="0" applyNumberFormat="1" applyFont="1" applyFill="1" applyAlignment="1">
      <alignment horizontal="center"/>
    </xf>
    <xf numFmtId="0" fontId="24" fillId="3" borderId="0" xfId="0" applyFont="1" applyFill="1" applyAlignment="1">
      <alignment horizontal="center" vertical="center"/>
    </xf>
    <xf numFmtId="0" fontId="14" fillId="3" borderId="13" xfId="0" applyFont="1" applyFill="1" applyBorder="1" applyAlignment="1">
      <alignment horizontal="center"/>
    </xf>
    <xf numFmtId="0" fontId="14" fillId="3" borderId="15" xfId="0" applyFont="1" applyFill="1" applyBorder="1" applyAlignment="1">
      <alignment horizontal="center"/>
    </xf>
    <xf numFmtId="0" fontId="13" fillId="5" borderId="6" xfId="0" applyFont="1" applyFill="1" applyBorder="1" applyAlignment="1">
      <alignment horizontal="center" vertical="center" wrapText="1"/>
    </xf>
    <xf numFmtId="0" fontId="13" fillId="5" borderId="8" xfId="0" applyFont="1" applyFill="1" applyBorder="1" applyAlignment="1">
      <alignment horizontal="center" vertical="center" wrapText="1"/>
    </xf>
    <xf numFmtId="0" fontId="14" fillId="5" borderId="14" xfId="0" applyFont="1" applyFill="1" applyBorder="1" applyAlignment="1">
      <alignment horizontal="center"/>
    </xf>
    <xf numFmtId="0" fontId="14" fillId="5" borderId="16" xfId="0" applyFont="1" applyFill="1" applyBorder="1" applyAlignment="1">
      <alignment horizontal="center"/>
    </xf>
    <xf numFmtId="0" fontId="14" fillId="5" borderId="25" xfId="0" applyFont="1" applyFill="1" applyBorder="1" applyAlignment="1">
      <alignment horizontal="center"/>
    </xf>
    <xf numFmtId="0" fontId="24" fillId="3" borderId="0" xfId="0" applyFont="1" applyFill="1" applyAlignment="1">
      <alignment horizontal="center"/>
    </xf>
    <xf numFmtId="0" fontId="25" fillId="3" borderId="0" xfId="0" applyFont="1" applyFill="1" applyAlignment="1">
      <alignment horizontal="center"/>
    </xf>
    <xf numFmtId="0" fontId="2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3" borderId="24" xfId="0" applyFont="1" applyFill="1" applyBorder="1" applyAlignment="1"/>
    <xf numFmtId="0" fontId="4" fillId="10" borderId="0" xfId="0" applyFont="1" applyFill="1" applyAlignment="1"/>
    <xf numFmtId="4" fontId="4" fillId="10" borderId="0" xfId="0" applyNumberFormat="1" applyFont="1" applyFill="1" applyAlignment="1"/>
    <xf numFmtId="4" fontId="16" fillId="3" borderId="11" xfId="0" applyNumberFormat="1" applyFont="1" applyFill="1" applyBorder="1" applyAlignment="1"/>
    <xf numFmtId="14" fontId="4" fillId="3" borderId="0" xfId="0" applyNumberFormat="1" applyFont="1" applyFill="1" applyAlignment="1"/>
    <xf numFmtId="0" fontId="12" fillId="10" borderId="0" xfId="0" applyFont="1" applyFill="1" applyAlignment="1"/>
    <xf numFmtId="0" fontId="11" fillId="3" borderId="0" xfId="0" applyFont="1" applyFill="1" applyAlignment="1"/>
    <xf numFmtId="4" fontId="11" fillId="3" borderId="0" xfId="0" applyNumberFormat="1" applyFont="1" applyFill="1" applyAlignment="1"/>
    <xf numFmtId="4" fontId="28" fillId="3" borderId="11" xfId="0" applyNumberFormat="1" applyFont="1" applyFill="1" applyBorder="1" applyAlignment="1"/>
    <xf numFmtId="0" fontId="0" fillId="0" borderId="0" xfId="0" applyAlignment="1"/>
  </cellXfs>
  <cellStyles count="3">
    <cellStyle name="Neutral" xfId="1" builtinId="28" customBuiltin="1"/>
    <cellStyle name="Normal" xfId="0" builtinId="0"/>
    <cellStyle name="Total" xfId="2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6.xml"/><Relationship Id="rId1" Type="http://schemas.openxmlformats.org/officeDocument/2006/relationships/image" Target="../media/image3.jpeg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2"/>
      <c:hPercent val="38"/>
      <c:rotY val="33"/>
      <c:depthPercent val="100"/>
      <c:rAngAx val="1"/>
    </c:view3D>
    <c:floor>
      <c:thickness val="0"/>
      <c:spPr>
        <a:gradFill rotWithShape="0">
          <a:gsLst>
            <a:gs pos="0">
              <a:srgbClr val="99CCFF"/>
            </a:gs>
            <a:gs pos="100000">
              <a:srgbClr val="99CCFF">
                <a:gamma/>
                <a:shade val="64706"/>
                <a:invGamma/>
              </a:srgbClr>
            </a:gs>
          </a:gsLst>
          <a:path path="rect">
            <a:fillToRect l="50000" t="50000" r="50000" b="50000"/>
          </a:path>
        </a:gradFill>
        <a:ln w="3175">
          <a:solidFill>
            <a:srgbClr val="99CCFF"/>
          </a:solidFill>
          <a:prstDash val="solid"/>
        </a:ln>
      </c:spPr>
    </c:floor>
    <c:sideWall>
      <c:thickness val="0"/>
      <c:spPr>
        <a:gradFill rotWithShape="0">
          <a:gsLst>
            <a:gs pos="0">
              <a:srgbClr val="99CCFF"/>
            </a:gs>
            <a:gs pos="100000">
              <a:srgbClr val="99CCFF">
                <a:gamma/>
                <a:tint val="3137"/>
                <a:invGamma/>
              </a:srgbClr>
            </a:gs>
          </a:gsLst>
          <a:path path="rect">
            <a:fillToRect l="100000" b="100000"/>
          </a:path>
        </a:gradFill>
        <a:ln w="12700">
          <a:solidFill>
            <a:srgbClr val="99CCFF"/>
          </a:solidFill>
          <a:prstDash val="solid"/>
        </a:ln>
      </c:spPr>
    </c:sideWall>
    <c:backWall>
      <c:thickness val="0"/>
      <c:spPr>
        <a:gradFill rotWithShape="0">
          <a:gsLst>
            <a:gs pos="0">
              <a:srgbClr val="99CCFF"/>
            </a:gs>
            <a:gs pos="100000">
              <a:srgbClr val="99CCFF">
                <a:gamma/>
                <a:tint val="3137"/>
                <a:invGamma/>
              </a:srgbClr>
            </a:gs>
          </a:gsLst>
          <a:path path="rect">
            <a:fillToRect l="100000" b="100000"/>
          </a:path>
        </a:gradFill>
        <a:ln w="12700">
          <a:solidFill>
            <a:srgbClr val="99CCFF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21969069138127284"/>
          <c:y val="0.10620784937237147"/>
          <c:w val="0.77914886413133666"/>
          <c:h val="0.73551727742895623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00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8620054238190395E-2"/>
                  <c:y val="-3.275570693770427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8FC-4C1B-87A7-D55930FD9780}"/>
                </c:ext>
              </c:extLst>
            </c:dLbl>
            <c:dLbl>
              <c:idx val="1"/>
              <c:layout>
                <c:manualLayout>
                  <c:x val="1.0661833446773706E-2"/>
                  <c:y val="-1.8119408457844426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8FC-4C1B-87A7-D55930FD9780}"/>
                </c:ext>
              </c:extLst>
            </c:dLbl>
            <c:dLbl>
              <c:idx val="2"/>
              <c:layout>
                <c:manualLayout>
                  <c:x val="1.5449724597465573E-2"/>
                  <c:y val="-6.5574216660621687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8FC-4C1B-87A7-D55930FD9780}"/>
                </c:ext>
              </c:extLst>
            </c:dLbl>
            <c:dLbl>
              <c:idx val="3"/>
              <c:layout>
                <c:manualLayout>
                  <c:x val="2.0237737873256289E-2"/>
                  <c:y val="-3.408985474545959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8FC-4C1B-87A7-D55930FD9780}"/>
                </c:ext>
              </c:extLst>
            </c:dLbl>
            <c:dLbl>
              <c:idx val="4"/>
              <c:layout>
                <c:manualLayout>
                  <c:x val="2.2708131920819538E-2"/>
                  <c:y val="-6.691143747138755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8FC-4C1B-87A7-D55930FD9780}"/>
                </c:ext>
              </c:extLst>
            </c:dLbl>
            <c:dLbl>
              <c:idx val="5"/>
              <c:layout>
                <c:manualLayout>
                  <c:x val="-1.4244159396334687E-2"/>
                  <c:y val="-3.488999633639869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8FC-4C1B-87A7-D55930FD9780}"/>
                </c:ext>
              </c:extLst>
            </c:dLbl>
            <c:dLbl>
              <c:idx val="6"/>
              <c:layout>
                <c:manualLayout>
                  <c:x val="8.8254517765616811E-3"/>
                  <c:y val="-2.458928830215243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8FC-4C1B-87A7-D55930FD9780}"/>
                </c:ext>
              </c:extLst>
            </c:dLbl>
            <c:dLbl>
              <c:idx val="7"/>
              <c:layout>
                <c:manualLayout>
                  <c:x val="3.4803515971007927E-2"/>
                  <c:y val="-2.292284016645160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8FC-4C1B-87A7-D55930FD9780}"/>
                </c:ext>
              </c:extLst>
            </c:dLbl>
            <c:dLbl>
              <c:idx val="8"/>
              <c:layout>
                <c:manualLayout>
                  <c:x val="1.7500864454304429E-2"/>
                  <c:y val="-3.19052021108842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F8FC-4C1B-87A7-D55930FD9780}"/>
                </c:ext>
              </c:extLst>
            </c:dLbl>
            <c:dLbl>
              <c:idx val="9"/>
              <c:layout>
                <c:manualLayout>
                  <c:x val="1.997138062696658E-2"/>
                  <c:y val="-5.841310397599154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8FC-4C1B-87A7-D55930FD9780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9874,89
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A-F8FC-4C1B-87A7-D55930FD9780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'Comparativo 95-2021'!$B$33:$B$55</c:f>
              <c:numCache>
                <c:formatCode>General</c:formatCode>
                <c:ptCount val="23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  <c:pt idx="22">
                  <c:v>2021</c:v>
                </c:pt>
              </c:numCache>
            </c:numRef>
          </c:cat>
          <c:val>
            <c:numRef>
              <c:f>'Comparativo 95-2021'!$C$33:$C$55</c:f>
              <c:numCache>
                <c:formatCode>#,##0.00</c:formatCode>
                <c:ptCount val="23"/>
                <c:pt idx="0">
                  <c:v>3865.5149999999999</c:v>
                </c:pt>
                <c:pt idx="1">
                  <c:v>2678.8979999999997</c:v>
                </c:pt>
                <c:pt idx="2">
                  <c:v>8035.2370000000001</c:v>
                </c:pt>
                <c:pt idx="3">
                  <c:v>4961.4800000000005</c:v>
                </c:pt>
                <c:pt idx="4">
                  <c:v>17825.250000000004</c:v>
                </c:pt>
                <c:pt idx="5">
                  <c:v>17818.809999999998</c:v>
                </c:pt>
                <c:pt idx="6">
                  <c:v>18093.12</c:v>
                </c:pt>
                <c:pt idx="7">
                  <c:v>12070.68</c:v>
                </c:pt>
                <c:pt idx="8">
                  <c:v>13529.750000000002</c:v>
                </c:pt>
                <c:pt idx="9">
                  <c:v>9878.89</c:v>
                </c:pt>
                <c:pt idx="10">
                  <c:v>8242.5700000000015</c:v>
                </c:pt>
                <c:pt idx="11">
                  <c:v>11196.960000000001</c:v>
                </c:pt>
                <c:pt idx="12">
                  <c:v>9620.8799999999992</c:v>
                </c:pt>
                <c:pt idx="13">
                  <c:v>8643.85</c:v>
                </c:pt>
                <c:pt idx="14">
                  <c:v>7618.9299999999994</c:v>
                </c:pt>
                <c:pt idx="15">
                  <c:v>6964.68</c:v>
                </c:pt>
                <c:pt idx="16">
                  <c:v>3235.5399999999995</c:v>
                </c:pt>
                <c:pt idx="17">
                  <c:v>2683.7099999999996</c:v>
                </c:pt>
                <c:pt idx="18">
                  <c:v>3323.79</c:v>
                </c:pt>
                <c:pt idx="19">
                  <c:v>4035.24</c:v>
                </c:pt>
                <c:pt idx="20">
                  <c:v>5736.75</c:v>
                </c:pt>
                <c:pt idx="21">
                  <c:v>4385.5500000000011</c:v>
                </c:pt>
                <c:pt idx="22">
                  <c:v>5655.3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F8FC-4C1B-87A7-D55930FD97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704873359"/>
        <c:axId val="1"/>
        <c:axId val="0"/>
      </c:bar3DChart>
      <c:catAx>
        <c:axId val="1704873359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0487335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 dpi="0" rotWithShape="0">
      <a:blip xmlns:r="http://schemas.openxmlformats.org/officeDocument/2006/relationships" r:embed="rId1"/>
      <a:srcRect/>
      <a:tile tx="0" ty="0" sx="100000" sy="100000" flip="none" algn="tl"/>
    </a:blipFill>
    <a:ln w="25400">
      <a:solidFill>
        <a:srgbClr val="C0C0C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" footer="0"/>
    <c:pageSetup paperSize="9" orientation="landscape"/>
  </c:printSettings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8"/>
      <c:hPercent val="134"/>
      <c:rotY val="44"/>
      <c:depthPercent val="100"/>
      <c:rAngAx val="1"/>
    </c:view3D>
    <c:floor>
      <c:thickness val="0"/>
      <c:spPr>
        <a:gradFill rotWithShape="0">
          <a:gsLst>
            <a:gs pos="0">
              <a:srgbClr val="CCFFFF"/>
            </a:gs>
            <a:gs pos="50000">
              <a:srgbClr val="33CCCC"/>
            </a:gs>
            <a:gs pos="100000">
              <a:srgbClr val="CCFFFF"/>
            </a:gs>
          </a:gsLst>
          <a:lin ang="5400000" scaled="1"/>
        </a:gradFill>
        <a:ln w="3175">
          <a:solidFill>
            <a:srgbClr val="000000"/>
          </a:solidFill>
          <a:prstDash val="solid"/>
        </a:ln>
      </c:spPr>
    </c:floor>
    <c:sideWall>
      <c:thickness val="0"/>
      <c:spPr>
        <a:gradFill rotWithShape="0">
          <a:gsLst>
            <a:gs pos="0">
              <a:srgbClr val="008080"/>
            </a:gs>
            <a:gs pos="100000">
              <a:srgbClr val="C0C0C0"/>
            </a:gs>
          </a:gsLst>
          <a:lin ang="5400000" scaled="1"/>
        </a:gradFill>
        <a:ln w="12700">
          <a:solidFill>
            <a:srgbClr val="808080"/>
          </a:solidFill>
          <a:prstDash val="solid"/>
        </a:ln>
      </c:spPr>
    </c:sideWall>
    <c:backWall>
      <c:thickness val="0"/>
      <c:spPr>
        <a:gradFill rotWithShape="0">
          <a:gsLst>
            <a:gs pos="0">
              <a:srgbClr val="008080"/>
            </a:gs>
            <a:gs pos="100000">
              <a:srgbClr val="C0C0C0"/>
            </a:gs>
          </a:gsLst>
          <a:lin ang="5400000" scaled="1"/>
        </a:gra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20577617328519857"/>
          <c:y val="0.1729106628242075"/>
          <c:w val="0.67870036101083031"/>
          <c:h val="0.78962536023054752"/>
        </c:manualLayout>
      </c:layout>
      <c:bar3DChart>
        <c:barDir val="bar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gradFill rotWithShape="0">
                <a:gsLst>
                  <a:gs pos="0">
                    <a:srgbClr val="FFFFFF"/>
                  </a:gs>
                  <a:gs pos="50000">
                    <a:srgbClr val="FF8080"/>
                  </a:gs>
                  <a:gs pos="100000">
                    <a:srgbClr val="FFFFFF"/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EFFE-4ED7-B5C4-23AD27B4BEF4}"/>
              </c:ext>
            </c:extLst>
          </c:dPt>
          <c:dPt>
            <c:idx val="1"/>
            <c:invertIfNegative val="0"/>
            <c:bubble3D val="0"/>
            <c:spPr>
              <a:gradFill rotWithShape="0">
                <a:gsLst>
                  <a:gs pos="0">
                    <a:srgbClr val="FFFFFF"/>
                  </a:gs>
                  <a:gs pos="50000">
                    <a:srgbClr val="99CCFF"/>
                  </a:gs>
                  <a:gs pos="100000">
                    <a:srgbClr val="FFFFFF"/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EFFE-4ED7-B5C4-23AD27B4BEF4}"/>
              </c:ext>
            </c:extLst>
          </c:dPt>
          <c:dPt>
            <c:idx val="2"/>
            <c:invertIfNegative val="0"/>
            <c:bubble3D val="0"/>
            <c:spPr>
              <a:gradFill rotWithShape="0">
                <a:gsLst>
                  <a:gs pos="0">
                    <a:srgbClr val="FFFFFF"/>
                  </a:gs>
                  <a:gs pos="50000">
                    <a:srgbClr val="FFFF99"/>
                  </a:gs>
                  <a:gs pos="100000">
                    <a:srgbClr val="FFFFFF"/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EFFE-4ED7-B5C4-23AD27B4BEF4}"/>
              </c:ext>
            </c:extLst>
          </c:dPt>
          <c:dPt>
            <c:idx val="3"/>
            <c:invertIfNegative val="0"/>
            <c:bubble3D val="0"/>
            <c:spPr>
              <a:gradFill rotWithShape="0">
                <a:gsLst>
                  <a:gs pos="0">
                    <a:srgbClr val="FFFFFF"/>
                  </a:gs>
                  <a:gs pos="50000">
                    <a:srgbClr val="FFCC99"/>
                  </a:gs>
                  <a:gs pos="100000">
                    <a:srgbClr val="FFFFFF"/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EFFE-4ED7-B5C4-23AD27B4BEF4}"/>
              </c:ext>
            </c:extLst>
          </c:dPt>
          <c:dLbls>
            <c:dLbl>
              <c:idx val="0"/>
              <c:layout>
                <c:manualLayout>
                  <c:x val="9.037847964936585E-2"/>
                  <c:y val="-2.209117520252335E-2"/>
                </c:manualLayout>
              </c:layout>
              <c:spPr>
                <a:solidFill>
                  <a:srgbClr val="FF8080"/>
                </a:solidFill>
                <a:ln w="3175">
                  <a:solidFill>
                    <a:srgbClr val="FF8080"/>
                  </a:solidFill>
                  <a:prstDash val="solid"/>
                </a:ln>
                <a:effectLst>
                  <a:outerShdw dist="35921" dir="2700000" algn="br">
                    <a:srgbClr val="000000"/>
                  </a:outerShdw>
                </a:effectLst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FFE-4ED7-B5C4-23AD27B4BEF4}"/>
                </c:ext>
              </c:extLst>
            </c:dLbl>
            <c:dLbl>
              <c:idx val="1"/>
              <c:layout>
                <c:manualLayout>
                  <c:x val="7.677904123015046E-2"/>
                  <c:y val="-2.7732739010907861E-2"/>
                </c:manualLayout>
              </c:layout>
              <c:spPr>
                <a:solidFill>
                  <a:srgbClr val="99CCFF"/>
                </a:solidFill>
                <a:ln w="3175">
                  <a:solidFill>
                    <a:srgbClr val="99CCFF"/>
                  </a:solidFill>
                  <a:prstDash val="solid"/>
                </a:ln>
                <a:effectLst>
                  <a:outerShdw dist="35921" dir="2700000" algn="br">
                    <a:srgbClr val="000000"/>
                  </a:outerShdw>
                </a:effectLst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FFE-4ED7-B5C4-23AD27B4BEF4}"/>
                </c:ext>
              </c:extLst>
            </c:dLbl>
            <c:dLbl>
              <c:idx val="2"/>
              <c:layout>
                <c:manualLayout>
                  <c:x val="9.037847964936585E-2"/>
                  <c:y val="-2.1846628165008822E-2"/>
                </c:manualLayout>
              </c:layout>
              <c:spPr>
                <a:solidFill>
                  <a:srgbClr val="FFFF99"/>
                </a:solidFill>
                <a:ln w="3175">
                  <a:solidFill>
                    <a:srgbClr val="FFFF99"/>
                  </a:solidFill>
                  <a:prstDash val="solid"/>
                </a:ln>
                <a:effectLst>
                  <a:outerShdw dist="35921" dir="2700000" algn="br">
                    <a:srgbClr val="000000"/>
                  </a:outerShdw>
                </a:effectLst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FFE-4ED7-B5C4-23AD27B4BEF4}"/>
                </c:ext>
              </c:extLst>
            </c:dLbl>
            <c:dLbl>
              <c:idx val="3"/>
              <c:layout>
                <c:manualLayout>
                  <c:x val="8.8573425497741332E-2"/>
                  <c:y val="-3.6133725114603749E-2"/>
                </c:manualLayout>
              </c:layout>
              <c:spPr>
                <a:solidFill>
                  <a:srgbClr val="FFCC99"/>
                </a:solidFill>
                <a:ln w="3175">
                  <a:solidFill>
                    <a:srgbClr val="FFCC99"/>
                  </a:solidFill>
                  <a:prstDash val="solid"/>
                </a:ln>
                <a:effectLst>
                  <a:outerShdw dist="35921" dir="2700000" algn="br">
                    <a:srgbClr val="000000"/>
                  </a:outerShdw>
                </a:effectLst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FFE-4ED7-B5C4-23AD27B4BEF4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'Comparativo 95-2021'!$G$85:$J$85</c:f>
              <c:numCache>
                <c:formatCode>#,##0.00</c:formatCode>
                <c:ptCount val="4"/>
                <c:pt idx="0">
                  <c:v>0</c:v>
                </c:pt>
                <c:pt idx="1">
                  <c:v>5655300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FFE-4ED7-B5C4-23AD27B4BE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704875023"/>
        <c:axId val="1"/>
        <c:axId val="0"/>
      </c:bar3DChart>
      <c:catAx>
        <c:axId val="1704875023"/>
        <c:scaling>
          <c:orientation val="minMax"/>
        </c:scaling>
        <c:delete val="1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1"/>
        <c:axPos val="b"/>
        <c:numFmt formatCode="#,##0.00" sourceLinked="1"/>
        <c:majorTickMark val="out"/>
        <c:minorTickMark val="none"/>
        <c:tickLblPos val="nextTo"/>
        <c:crossAx val="1704875023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33CCCC"/>
        </a:gs>
        <a:gs pos="100000">
          <a:srgbClr val="33CCCC">
            <a:gamma/>
            <a:tint val="18431"/>
            <a:invGamma/>
          </a:srgbClr>
        </a:gs>
      </a:gsLst>
      <a:path path="rect">
        <a:fillToRect r="100000" b="100000"/>
      </a:path>
    </a:gra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" footer="0"/>
    <c:pageSetup orientation="landscape" horizontalDpi="-3" verticalDpi="300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599749053714659E-2"/>
          <c:y val="7.729735988883743E-2"/>
          <c:w val="0.92916742282505116"/>
          <c:h val="0.76136645273457004"/>
        </c:manualLayout>
      </c:layout>
      <c:lineChart>
        <c:grouping val="standard"/>
        <c:varyColors val="0"/>
        <c:ser>
          <c:idx val="1"/>
          <c:order val="0"/>
          <c:spPr>
            <a:ln w="12700">
              <a:solidFill>
                <a:srgbClr val="80008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800080"/>
              </a:solidFill>
              <a:ln>
                <a:solidFill>
                  <a:srgbClr val="800080"/>
                </a:solidFill>
                <a:prstDash val="solid"/>
              </a:ln>
            </c:spPr>
          </c:marker>
          <c:cat>
            <c:numRef>
              <c:f>'Comparativo 95-2021'!$B$127:$B$161</c:f>
              <c:numCache>
                <c:formatCode>General</c:formatCode>
                <c:ptCount val="35"/>
                <c:pt idx="0">
                  <c:v>1987</c:v>
                </c:pt>
                <c:pt idx="1">
                  <c:v>1988</c:v>
                </c:pt>
                <c:pt idx="2">
                  <c:v>1989</c:v>
                </c:pt>
                <c:pt idx="3">
                  <c:v>1990</c:v>
                </c:pt>
                <c:pt idx="4">
                  <c:v>1991</c:v>
                </c:pt>
                <c:pt idx="5">
                  <c:v>1992</c:v>
                </c:pt>
                <c:pt idx="6">
                  <c:v>1993</c:v>
                </c:pt>
                <c:pt idx="7">
                  <c:v>1994</c:v>
                </c:pt>
                <c:pt idx="8">
                  <c:v>1995</c:v>
                </c:pt>
                <c:pt idx="9">
                  <c:v>1996</c:v>
                </c:pt>
                <c:pt idx="10">
                  <c:v>1997</c:v>
                </c:pt>
                <c:pt idx="11">
                  <c:v>1998</c:v>
                </c:pt>
                <c:pt idx="12">
                  <c:v>1999</c:v>
                </c:pt>
                <c:pt idx="13">
                  <c:v>2000</c:v>
                </c:pt>
                <c:pt idx="14">
                  <c:v>2001</c:v>
                </c:pt>
                <c:pt idx="15">
                  <c:v>2002</c:v>
                </c:pt>
                <c:pt idx="16">
                  <c:v>2003</c:v>
                </c:pt>
                <c:pt idx="17">
                  <c:v>2004</c:v>
                </c:pt>
                <c:pt idx="18">
                  <c:v>2005</c:v>
                </c:pt>
                <c:pt idx="19">
                  <c:v>2006</c:v>
                </c:pt>
                <c:pt idx="20">
                  <c:v>2007</c:v>
                </c:pt>
                <c:pt idx="21">
                  <c:v>2008</c:v>
                </c:pt>
                <c:pt idx="22">
                  <c:v>2009</c:v>
                </c:pt>
                <c:pt idx="23">
                  <c:v>2010</c:v>
                </c:pt>
                <c:pt idx="24">
                  <c:v>2011</c:v>
                </c:pt>
                <c:pt idx="25">
                  <c:v>2012</c:v>
                </c:pt>
                <c:pt idx="26">
                  <c:v>2013</c:v>
                </c:pt>
                <c:pt idx="27">
                  <c:v>2014</c:v>
                </c:pt>
                <c:pt idx="28">
                  <c:v>2015</c:v>
                </c:pt>
                <c:pt idx="29">
                  <c:v>2016</c:v>
                </c:pt>
                <c:pt idx="30">
                  <c:v>2017</c:v>
                </c:pt>
                <c:pt idx="31">
                  <c:v>2018</c:v>
                </c:pt>
                <c:pt idx="32">
                  <c:v>2019</c:v>
                </c:pt>
                <c:pt idx="33">
                  <c:v>2020</c:v>
                </c:pt>
                <c:pt idx="34">
                  <c:v>2021</c:v>
                </c:pt>
              </c:numCache>
            </c:numRef>
          </c:cat>
          <c:val>
            <c:numRef>
              <c:f>'Comparativo 95-2021'!$C$127:$C$161</c:f>
              <c:numCache>
                <c:formatCode>#,##0.00</c:formatCode>
                <c:ptCount val="35"/>
                <c:pt idx="0">
                  <c:v>2100</c:v>
                </c:pt>
                <c:pt idx="1">
                  <c:v>117</c:v>
                </c:pt>
                <c:pt idx="2">
                  <c:v>21</c:v>
                </c:pt>
                <c:pt idx="3">
                  <c:v>552</c:v>
                </c:pt>
                <c:pt idx="4">
                  <c:v>0</c:v>
                </c:pt>
                <c:pt idx="5">
                  <c:v>773</c:v>
                </c:pt>
                <c:pt idx="6">
                  <c:v>1113.83</c:v>
                </c:pt>
                <c:pt idx="7">
                  <c:v>15787</c:v>
                </c:pt>
                <c:pt idx="8">
                  <c:v>23805</c:v>
                </c:pt>
                <c:pt idx="9">
                  <c:v>14055</c:v>
                </c:pt>
                <c:pt idx="10">
                  <c:v>11659</c:v>
                </c:pt>
                <c:pt idx="11">
                  <c:v>5977.31</c:v>
                </c:pt>
                <c:pt idx="12">
                  <c:v>3865.52</c:v>
                </c:pt>
                <c:pt idx="13">
                  <c:v>2678.9</c:v>
                </c:pt>
                <c:pt idx="14">
                  <c:v>8035.24</c:v>
                </c:pt>
                <c:pt idx="15">
                  <c:v>4961.4799999999996</c:v>
                </c:pt>
                <c:pt idx="16">
                  <c:v>17825.240000000002</c:v>
                </c:pt>
                <c:pt idx="17">
                  <c:v>17818.8</c:v>
                </c:pt>
                <c:pt idx="18">
                  <c:v>18093.13</c:v>
                </c:pt>
                <c:pt idx="19">
                  <c:v>12070.68</c:v>
                </c:pt>
                <c:pt idx="20">
                  <c:v>13529.750000000002</c:v>
                </c:pt>
                <c:pt idx="21">
                  <c:v>9878.8799999999992</c:v>
                </c:pt>
                <c:pt idx="22">
                  <c:v>8242.5700000000015</c:v>
                </c:pt>
                <c:pt idx="23">
                  <c:v>11196.960000000001</c:v>
                </c:pt>
                <c:pt idx="24">
                  <c:v>9620.8799999999992</c:v>
                </c:pt>
                <c:pt idx="25">
                  <c:v>11196.960000000001</c:v>
                </c:pt>
                <c:pt idx="26">
                  <c:v>7618.9299999999994</c:v>
                </c:pt>
                <c:pt idx="27">
                  <c:v>6964.68</c:v>
                </c:pt>
                <c:pt idx="28">
                  <c:v>3235.5399999999995</c:v>
                </c:pt>
                <c:pt idx="29">
                  <c:v>2683.7099999999996</c:v>
                </c:pt>
                <c:pt idx="30">
                  <c:v>3323.79</c:v>
                </c:pt>
                <c:pt idx="31">
                  <c:v>4035.24</c:v>
                </c:pt>
                <c:pt idx="32">
                  <c:v>5736.75</c:v>
                </c:pt>
                <c:pt idx="33">
                  <c:v>4385.5500000000011</c:v>
                </c:pt>
                <c:pt idx="34">
                  <c:v>5655.3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D66E-4A63-830C-FD8A7E4FC8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04870863"/>
        <c:axId val="1"/>
      </c:lineChart>
      <c:catAx>
        <c:axId val="1704870863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FF9900"/>
            </a:solidFill>
            <a:prstDash val="solid"/>
          </a:ln>
        </c:spPr>
        <c:txPr>
          <a:bodyPr rot="-270000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FF9900"/>
              </a:solidFill>
              <a:prstDash val="solid"/>
            </a:ln>
          </c:spPr>
        </c:majorGridlines>
        <c:numFmt formatCode="#,##0.00" sourceLinked="1"/>
        <c:majorTickMark val="out"/>
        <c:minorTickMark val="none"/>
        <c:tickLblPos val="nextTo"/>
        <c:spPr>
          <a:ln w="3175">
            <a:solidFill>
              <a:srgbClr val="FF99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1704870863"/>
        <c:crosses val="autoZero"/>
        <c:crossBetween val="between"/>
      </c:valAx>
      <c:spPr>
        <a:gradFill rotWithShape="0">
          <a:gsLst>
            <a:gs pos="0">
              <a:srgbClr val="FFFFCC"/>
            </a:gs>
            <a:gs pos="50000">
              <a:srgbClr val="FFCC99"/>
            </a:gs>
            <a:gs pos="100000">
              <a:srgbClr val="FFFFCC"/>
            </a:gs>
          </a:gsLst>
          <a:lin ang="5400000" scaled="1"/>
        </a:gradFill>
        <a:ln w="25400">
          <a:noFill/>
        </a:ln>
      </c:spPr>
    </c:plotArea>
    <c:plotVisOnly val="1"/>
    <c:dispBlanksAs val="gap"/>
    <c:showDLblsOverMax val="0"/>
  </c:chart>
  <c:spPr>
    <a:blipFill dpi="0" rotWithShape="0">
      <a:blip xmlns:r="http://schemas.openxmlformats.org/officeDocument/2006/relationships" r:embed="rId1"/>
      <a:srcRect/>
      <a:tile tx="0" ty="0" sx="100000" sy="100000" flip="none" algn="tl"/>
    </a:blip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image" Target="../media/image5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10</xdr:row>
      <xdr:rowOff>142875</xdr:rowOff>
    </xdr:from>
    <xdr:to>
      <xdr:col>6</xdr:col>
      <xdr:colOff>476250</xdr:colOff>
      <xdr:row>14</xdr:row>
      <xdr:rowOff>0</xdr:rowOff>
    </xdr:to>
    <xdr:sp macro="" textlink="">
      <xdr:nvSpPr>
        <xdr:cNvPr id="12293" name="Text Box 5">
          <a:extLst>
            <a:ext uri="{FF2B5EF4-FFF2-40B4-BE49-F238E27FC236}">
              <a16:creationId xmlns:a16="http://schemas.microsoft.com/office/drawing/2014/main" id="{3829FB45-DF69-452D-AE1E-36C4866E8E81}"/>
            </a:ext>
          </a:extLst>
        </xdr:cNvPr>
        <xdr:cNvSpPr txBox="1">
          <a:spLocks noChangeArrowheads="1"/>
        </xdr:cNvSpPr>
      </xdr:nvSpPr>
      <xdr:spPr bwMode="auto">
        <a:xfrm>
          <a:off x="1943100" y="1762125"/>
          <a:ext cx="2962275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s-AR" sz="1200" b="1" i="1" u="none" strike="noStrike" baseline="0">
              <a:solidFill>
                <a:srgbClr val="000000"/>
              </a:solidFill>
              <a:latin typeface="Verdana"/>
            </a:rPr>
            <a:t>DATOS ESTADÍSTICOS </a:t>
          </a:r>
        </a:p>
        <a:p>
          <a:pPr algn="ctr" rtl="0">
            <a:defRPr sz="1000"/>
          </a:pPr>
          <a:r>
            <a:rPr lang="es-AR" sz="1200" b="1" i="1" u="none" strike="noStrike" baseline="0">
              <a:solidFill>
                <a:srgbClr val="000000"/>
              </a:solidFill>
              <a:latin typeface="Verdana"/>
            </a:rPr>
            <a:t>Movimiento del Sector Pesquero</a:t>
          </a:r>
          <a:endParaRPr lang="es-AR" sz="1000" b="1" i="0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0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 editAs="oneCell">
    <xdr:from>
      <xdr:col>1</xdr:col>
      <xdr:colOff>295275</xdr:colOff>
      <xdr:row>20</xdr:row>
      <xdr:rowOff>133350</xdr:rowOff>
    </xdr:from>
    <xdr:to>
      <xdr:col>8</xdr:col>
      <xdr:colOff>295275</xdr:colOff>
      <xdr:row>44</xdr:row>
      <xdr:rowOff>133350</xdr:rowOff>
    </xdr:to>
    <xdr:pic>
      <xdr:nvPicPr>
        <xdr:cNvPr id="1875141" name="Picture 6">
          <a:extLst>
            <a:ext uri="{FF2B5EF4-FFF2-40B4-BE49-F238E27FC236}">
              <a16:creationId xmlns:a16="http://schemas.microsoft.com/office/drawing/2014/main" id="{E4CCFD10-7A2B-46EC-8C73-84DF9A5232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" y="3400425"/>
          <a:ext cx="5667375" cy="388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352425</xdr:colOff>
      <xdr:row>43</xdr:row>
      <xdr:rowOff>85725</xdr:rowOff>
    </xdr:from>
    <xdr:to>
      <xdr:col>8</xdr:col>
      <xdr:colOff>0</xdr:colOff>
      <xdr:row>45</xdr:row>
      <xdr:rowOff>47625</xdr:rowOff>
    </xdr:to>
    <xdr:sp macro="" textlink="">
      <xdr:nvSpPr>
        <xdr:cNvPr id="12295" name="Text Box 7">
          <a:extLst>
            <a:ext uri="{FF2B5EF4-FFF2-40B4-BE49-F238E27FC236}">
              <a16:creationId xmlns:a16="http://schemas.microsoft.com/office/drawing/2014/main" id="{F75529A3-A923-49F5-82FA-60E2854BFDCB}"/>
            </a:ext>
          </a:extLst>
        </xdr:cNvPr>
        <xdr:cNvSpPr txBox="1">
          <a:spLocks noChangeArrowheads="1"/>
        </xdr:cNvSpPr>
      </xdr:nvSpPr>
      <xdr:spPr bwMode="auto">
        <a:xfrm>
          <a:off x="1247775" y="7048500"/>
          <a:ext cx="4486275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s-AR" sz="900" b="0" i="0" u="none" strike="noStrike" baseline="0">
              <a:solidFill>
                <a:srgbClr val="000000"/>
              </a:solidFill>
              <a:latin typeface="Verdana"/>
            </a:rPr>
            <a:t>Pontón Flotante - Puerto San Antonio Este - Río Negro - República Argentina</a:t>
          </a:r>
        </a:p>
      </xdr:txBody>
    </xdr:sp>
    <xdr:clientData/>
  </xdr:twoCellAnchor>
  <xdr:twoCellAnchor editAs="oneCell">
    <xdr:from>
      <xdr:col>2</xdr:col>
      <xdr:colOff>1057275</xdr:colOff>
      <xdr:row>47</xdr:row>
      <xdr:rowOff>142875</xdr:rowOff>
    </xdr:from>
    <xdr:to>
      <xdr:col>6</xdr:col>
      <xdr:colOff>742950</xdr:colOff>
      <xdr:row>54</xdr:row>
      <xdr:rowOff>57150</xdr:rowOff>
    </xdr:to>
    <xdr:sp macro="" textlink="">
      <xdr:nvSpPr>
        <xdr:cNvPr id="12296" name="Text Box 8">
          <a:extLst>
            <a:ext uri="{FF2B5EF4-FFF2-40B4-BE49-F238E27FC236}">
              <a16:creationId xmlns:a16="http://schemas.microsoft.com/office/drawing/2014/main" id="{AA07A039-4E5D-4D7E-8DA1-8359CD320A2B}"/>
            </a:ext>
          </a:extLst>
        </xdr:cNvPr>
        <xdr:cNvSpPr txBox="1">
          <a:spLocks noChangeArrowheads="1"/>
        </xdr:cNvSpPr>
      </xdr:nvSpPr>
      <xdr:spPr bwMode="auto">
        <a:xfrm>
          <a:off x="1952625" y="7753350"/>
          <a:ext cx="3228975" cy="1047750"/>
        </a:xfrm>
        <a:prstGeom prst="rect">
          <a:avLst/>
        </a:prstGeom>
        <a:solidFill>
          <a:srgbClr val="FFFF99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AR" sz="1000" b="0" i="0" u="none" strike="noStrike" baseline="0">
              <a:solidFill>
                <a:srgbClr val="3366FF"/>
              </a:solidFill>
              <a:latin typeface="Verdana"/>
            </a:rPr>
            <a:t>Movimiento del Sector Pesquero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3366FF"/>
            </a:solidFill>
            <a:latin typeface="Verdana"/>
          </a:endParaRPr>
        </a:p>
        <a:p>
          <a:pPr algn="ctr" rtl="0">
            <a:defRPr sz="1000"/>
          </a:pPr>
          <a:r>
            <a:rPr lang="es-AR" sz="1000" b="0" i="0" u="none" strike="noStrike" baseline="0">
              <a:solidFill>
                <a:srgbClr val="3366FF"/>
              </a:solidFill>
              <a:latin typeface="Verdana"/>
            </a:rPr>
            <a:t>Datos mensuales</a:t>
          </a:r>
        </a:p>
        <a:p>
          <a:pPr algn="ctr" rtl="0">
            <a:defRPr sz="1000"/>
          </a:pPr>
          <a:r>
            <a:rPr lang="es-AR" sz="1000" b="0" i="0" u="none" strike="noStrike" baseline="0">
              <a:solidFill>
                <a:srgbClr val="3366FF"/>
              </a:solidFill>
              <a:latin typeface="Verdana"/>
            </a:rPr>
            <a:t>Comparativo año anterior</a:t>
          </a:r>
        </a:p>
        <a:p>
          <a:pPr algn="ctr" rtl="0">
            <a:defRPr sz="1000"/>
          </a:pPr>
          <a:r>
            <a:rPr lang="es-AR" sz="1000" b="0" i="0" u="none" strike="noStrike" baseline="0">
              <a:solidFill>
                <a:srgbClr val="3366FF"/>
              </a:solidFill>
              <a:latin typeface="Verdana"/>
            </a:rPr>
            <a:t>Acumulativo semestral</a:t>
          </a:r>
        </a:p>
        <a:p>
          <a:pPr algn="ctr" rtl="0">
            <a:defRPr sz="1000"/>
          </a:pPr>
          <a:r>
            <a:rPr lang="es-AR" sz="1000" b="0" i="0" u="none" strike="noStrike" baseline="0">
              <a:solidFill>
                <a:srgbClr val="3366FF"/>
              </a:solidFill>
              <a:latin typeface="Verdana"/>
            </a:rPr>
            <a:t>Acumulativo anual</a:t>
          </a:r>
        </a:p>
      </xdr:txBody>
    </xdr:sp>
    <xdr:clientData/>
  </xdr:twoCellAnchor>
  <xdr:twoCellAnchor>
    <xdr:from>
      <xdr:col>1</xdr:col>
      <xdr:colOff>714375</xdr:colOff>
      <xdr:row>57</xdr:row>
      <xdr:rowOff>142875</xdr:rowOff>
    </xdr:from>
    <xdr:to>
      <xdr:col>7</xdr:col>
      <xdr:colOff>390525</xdr:colOff>
      <xdr:row>62</xdr:row>
      <xdr:rowOff>104775</xdr:rowOff>
    </xdr:to>
    <xdr:sp macro="" textlink="">
      <xdr:nvSpPr>
        <xdr:cNvPr id="12297" name="Text Box 9">
          <a:extLst>
            <a:ext uri="{FF2B5EF4-FFF2-40B4-BE49-F238E27FC236}">
              <a16:creationId xmlns:a16="http://schemas.microsoft.com/office/drawing/2014/main" id="{7357EE35-6581-4C8A-820F-3EE85600DDA6}"/>
            </a:ext>
          </a:extLst>
        </xdr:cNvPr>
        <xdr:cNvSpPr txBox="1">
          <a:spLocks noChangeArrowheads="1"/>
        </xdr:cNvSpPr>
      </xdr:nvSpPr>
      <xdr:spPr bwMode="auto">
        <a:xfrm>
          <a:off x="1000125" y="9372600"/>
          <a:ext cx="4581525" cy="7715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Verdana"/>
            </a:rPr>
            <a:t>Form. 2013 - 22/11/00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info@patagonia-norte.com.ar      </a:t>
          </a:r>
        </a:p>
        <a:p>
          <a:pPr algn="ctr" rtl="0">
            <a:lnSpc>
              <a:spcPts val="900"/>
            </a:lnSpc>
            <a:defRPr sz="1000"/>
          </a:pPr>
          <a:endParaRPr lang="es-AR" sz="800" b="0" i="0" u="none" strike="noStrike" baseline="0">
            <a:solidFill>
              <a:srgbClr val="000080"/>
            </a:solidFill>
            <a:latin typeface="Verdana"/>
          </a:endParaRPr>
        </a:p>
        <a:p>
          <a:pPr algn="ctr" rtl="0">
            <a:lnSpc>
              <a:spcPts val="1100"/>
            </a:lnSpc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3</xdr:col>
      <xdr:colOff>619125</xdr:colOff>
      <xdr:row>2</xdr:row>
      <xdr:rowOff>66675</xdr:rowOff>
    </xdr:from>
    <xdr:to>
      <xdr:col>5</xdr:col>
      <xdr:colOff>695325</xdr:colOff>
      <xdr:row>10</xdr:row>
      <xdr:rowOff>47625</xdr:rowOff>
    </xdr:to>
    <xdr:pic>
      <xdr:nvPicPr>
        <xdr:cNvPr id="1875145" name="Imagen 2">
          <a:extLst>
            <a:ext uri="{FF2B5EF4-FFF2-40B4-BE49-F238E27FC236}">
              <a16:creationId xmlns:a16="http://schemas.microsoft.com/office/drawing/2014/main" id="{E7520400-5B4F-494F-99CA-99A3F29A43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2225" y="390525"/>
          <a:ext cx="1733550" cy="127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9463" name="Text Box 7">
          <a:extLst>
            <a:ext uri="{FF2B5EF4-FFF2-40B4-BE49-F238E27FC236}">
              <a16:creationId xmlns:a16="http://schemas.microsoft.com/office/drawing/2014/main" id="{437075B3-017F-4BBC-826B-6A99F57EB957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9464" name="Text Box 8">
          <a:extLst>
            <a:ext uri="{FF2B5EF4-FFF2-40B4-BE49-F238E27FC236}">
              <a16:creationId xmlns:a16="http://schemas.microsoft.com/office/drawing/2014/main" id="{9242F21C-C38D-42F3-8578-1BB8583C31D6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9468" name="Text Box 12">
          <a:extLst>
            <a:ext uri="{FF2B5EF4-FFF2-40B4-BE49-F238E27FC236}">
              <a16:creationId xmlns:a16="http://schemas.microsoft.com/office/drawing/2014/main" id="{8B62DBF6-18E5-4CE7-8BCE-17C336DCB6D5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9469" name="Text Box 13">
          <a:extLst>
            <a:ext uri="{FF2B5EF4-FFF2-40B4-BE49-F238E27FC236}">
              <a16:creationId xmlns:a16="http://schemas.microsoft.com/office/drawing/2014/main" id="{C4BFE9D6-36C0-44A7-BF32-19C2B4761611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9471" name="Text Box 15">
          <a:extLst>
            <a:ext uri="{FF2B5EF4-FFF2-40B4-BE49-F238E27FC236}">
              <a16:creationId xmlns:a16="http://schemas.microsoft.com/office/drawing/2014/main" id="{518D4C5D-257D-4727-9B87-2CF4A1F602A7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9472" name="Text Box 16">
          <a:extLst>
            <a:ext uri="{FF2B5EF4-FFF2-40B4-BE49-F238E27FC236}">
              <a16:creationId xmlns:a16="http://schemas.microsoft.com/office/drawing/2014/main" id="{D5139AC6-624F-456B-B45F-4C65866444D7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9473" name="Text Box 17">
          <a:extLst>
            <a:ext uri="{FF2B5EF4-FFF2-40B4-BE49-F238E27FC236}">
              <a16:creationId xmlns:a16="http://schemas.microsoft.com/office/drawing/2014/main" id="{663D02D2-26EC-4DD2-876E-E15ABF142CC6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9474" name="Text Box 18">
          <a:extLst>
            <a:ext uri="{FF2B5EF4-FFF2-40B4-BE49-F238E27FC236}">
              <a16:creationId xmlns:a16="http://schemas.microsoft.com/office/drawing/2014/main" id="{FE4205B9-7399-4F3F-B6B1-EEC845657FC4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9475" name="Text Box 19">
          <a:extLst>
            <a:ext uri="{FF2B5EF4-FFF2-40B4-BE49-F238E27FC236}">
              <a16:creationId xmlns:a16="http://schemas.microsoft.com/office/drawing/2014/main" id="{7A502864-31A6-4CE9-B18B-8715C4ABB55A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9476" name="Text Box 20">
          <a:extLst>
            <a:ext uri="{FF2B5EF4-FFF2-40B4-BE49-F238E27FC236}">
              <a16:creationId xmlns:a16="http://schemas.microsoft.com/office/drawing/2014/main" id="{431CB0F9-B4BB-4859-B9DB-4A30D256F13F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9477" name="Text Box 21">
          <a:extLst>
            <a:ext uri="{FF2B5EF4-FFF2-40B4-BE49-F238E27FC236}">
              <a16:creationId xmlns:a16="http://schemas.microsoft.com/office/drawing/2014/main" id="{F6A431AF-98C2-47B3-B505-E8B8F9A1498E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9478" name="Text Box 22">
          <a:extLst>
            <a:ext uri="{FF2B5EF4-FFF2-40B4-BE49-F238E27FC236}">
              <a16:creationId xmlns:a16="http://schemas.microsoft.com/office/drawing/2014/main" id="{84552A96-1698-4928-A111-54337F588CD7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9479" name="Text Box 23">
          <a:extLst>
            <a:ext uri="{FF2B5EF4-FFF2-40B4-BE49-F238E27FC236}">
              <a16:creationId xmlns:a16="http://schemas.microsoft.com/office/drawing/2014/main" id="{E75B2D4E-674A-4423-A3E3-8C13AC4A60D1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9480" name="Text Box 24">
          <a:extLst>
            <a:ext uri="{FF2B5EF4-FFF2-40B4-BE49-F238E27FC236}">
              <a16:creationId xmlns:a16="http://schemas.microsoft.com/office/drawing/2014/main" id="{D510CB9B-E625-4630-9E73-99973AD43614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9484" name="Text Box 28">
          <a:extLst>
            <a:ext uri="{FF2B5EF4-FFF2-40B4-BE49-F238E27FC236}">
              <a16:creationId xmlns:a16="http://schemas.microsoft.com/office/drawing/2014/main" id="{B4E6E17E-64FB-4721-8867-CD407D8A83D9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9485" name="Text Box 29">
          <a:extLst>
            <a:ext uri="{FF2B5EF4-FFF2-40B4-BE49-F238E27FC236}">
              <a16:creationId xmlns:a16="http://schemas.microsoft.com/office/drawing/2014/main" id="{895DEA5B-49C2-4F88-8315-394C2F29FADE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9487" name="Text Box 31">
          <a:extLst>
            <a:ext uri="{FF2B5EF4-FFF2-40B4-BE49-F238E27FC236}">
              <a16:creationId xmlns:a16="http://schemas.microsoft.com/office/drawing/2014/main" id="{E036AF59-B4CD-4D81-9FB6-8A71044B64BE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9488" name="Text Box 32">
          <a:extLst>
            <a:ext uri="{FF2B5EF4-FFF2-40B4-BE49-F238E27FC236}">
              <a16:creationId xmlns:a16="http://schemas.microsoft.com/office/drawing/2014/main" id="{F6F33FB1-C6BE-4F95-B265-A3369C706FD3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9489" name="Text Box 33">
          <a:extLst>
            <a:ext uri="{FF2B5EF4-FFF2-40B4-BE49-F238E27FC236}">
              <a16:creationId xmlns:a16="http://schemas.microsoft.com/office/drawing/2014/main" id="{C0F70E73-F06D-47F1-B07D-CC8D3F30D8C4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9490" name="Text Box 34">
          <a:extLst>
            <a:ext uri="{FF2B5EF4-FFF2-40B4-BE49-F238E27FC236}">
              <a16:creationId xmlns:a16="http://schemas.microsoft.com/office/drawing/2014/main" id="{80977434-8FA6-4BC8-A3BF-9CB96B2C9B43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9491" name="Text Box 35">
          <a:extLst>
            <a:ext uri="{FF2B5EF4-FFF2-40B4-BE49-F238E27FC236}">
              <a16:creationId xmlns:a16="http://schemas.microsoft.com/office/drawing/2014/main" id="{B4C0944D-B136-4DBA-9093-7E1D3F4715CF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9492" name="Text Box 36">
          <a:extLst>
            <a:ext uri="{FF2B5EF4-FFF2-40B4-BE49-F238E27FC236}">
              <a16:creationId xmlns:a16="http://schemas.microsoft.com/office/drawing/2014/main" id="{7564874D-DE99-4C65-9D67-27D91D7248BB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9493" name="Text Box 37">
          <a:extLst>
            <a:ext uri="{FF2B5EF4-FFF2-40B4-BE49-F238E27FC236}">
              <a16:creationId xmlns:a16="http://schemas.microsoft.com/office/drawing/2014/main" id="{B2CEBEE9-6DA2-4AC8-B4AE-7811DE3DDA1C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9494" name="Text Box 38">
          <a:extLst>
            <a:ext uri="{FF2B5EF4-FFF2-40B4-BE49-F238E27FC236}">
              <a16:creationId xmlns:a16="http://schemas.microsoft.com/office/drawing/2014/main" id="{CF4B0F83-E82B-4B53-A979-457A4702A764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9495" name="Text Box 39">
          <a:extLst>
            <a:ext uri="{FF2B5EF4-FFF2-40B4-BE49-F238E27FC236}">
              <a16:creationId xmlns:a16="http://schemas.microsoft.com/office/drawing/2014/main" id="{AC870995-0F4E-4FAF-894B-0DC3918402AE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9496" name="Text Box 40">
          <a:extLst>
            <a:ext uri="{FF2B5EF4-FFF2-40B4-BE49-F238E27FC236}">
              <a16:creationId xmlns:a16="http://schemas.microsoft.com/office/drawing/2014/main" id="{1740B6DA-58E6-426C-9F50-691FC2DF8698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2</xdr:col>
      <xdr:colOff>466725</xdr:colOff>
      <xdr:row>61</xdr:row>
      <xdr:rowOff>38100</xdr:rowOff>
    </xdr:from>
    <xdr:to>
      <xdr:col>8</xdr:col>
      <xdr:colOff>285750</xdr:colOff>
      <xdr:row>66</xdr:row>
      <xdr:rowOff>0</xdr:rowOff>
    </xdr:to>
    <xdr:sp macro="" textlink="">
      <xdr:nvSpPr>
        <xdr:cNvPr id="19497" name="Text Box 41">
          <a:extLst>
            <a:ext uri="{FF2B5EF4-FFF2-40B4-BE49-F238E27FC236}">
              <a16:creationId xmlns:a16="http://schemas.microsoft.com/office/drawing/2014/main" id="{A080CEA2-047F-49A4-9B3F-5013C26F1989}"/>
            </a:ext>
          </a:extLst>
        </xdr:cNvPr>
        <xdr:cNvSpPr txBox="1">
          <a:spLocks noChangeArrowheads="1"/>
        </xdr:cNvSpPr>
      </xdr:nvSpPr>
      <xdr:spPr bwMode="auto">
        <a:xfrm>
          <a:off x="1038225" y="9753600"/>
          <a:ext cx="4724400" cy="7715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Verdana"/>
            </a:rPr>
            <a:t>Form. 2013 - 22/11/00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info@patagonia-norte.com.ar      </a:t>
          </a:r>
        </a:p>
        <a:p>
          <a:pPr algn="ctr" rtl="0">
            <a:lnSpc>
              <a:spcPts val="900"/>
            </a:lnSpc>
            <a:defRPr sz="1000"/>
          </a:pPr>
          <a:endParaRPr lang="es-AR" sz="800" b="0" i="0" u="none" strike="noStrike" baseline="0">
            <a:solidFill>
              <a:srgbClr val="000080"/>
            </a:solidFill>
            <a:latin typeface="Verdana"/>
          </a:endParaRPr>
        </a:p>
        <a:p>
          <a:pPr algn="ctr" rtl="0">
            <a:lnSpc>
              <a:spcPts val="1100"/>
            </a:lnSpc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0</xdr:col>
      <xdr:colOff>57150</xdr:colOff>
      <xdr:row>0</xdr:row>
      <xdr:rowOff>47625</xdr:rowOff>
    </xdr:from>
    <xdr:to>
      <xdr:col>3</xdr:col>
      <xdr:colOff>390525</xdr:colOff>
      <xdr:row>8</xdr:row>
      <xdr:rowOff>28575</xdr:rowOff>
    </xdr:to>
    <xdr:pic>
      <xdr:nvPicPr>
        <xdr:cNvPr id="1868767" name="Imagen 30">
          <a:extLst>
            <a:ext uri="{FF2B5EF4-FFF2-40B4-BE49-F238E27FC236}">
              <a16:creationId xmlns:a16="http://schemas.microsoft.com/office/drawing/2014/main" id="{71A4188A-F080-4277-870A-40966487E7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47625"/>
          <a:ext cx="1733550" cy="127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0504" name="Text Box 24">
          <a:extLst>
            <a:ext uri="{FF2B5EF4-FFF2-40B4-BE49-F238E27FC236}">
              <a16:creationId xmlns:a16="http://schemas.microsoft.com/office/drawing/2014/main" id="{7220E13E-07C9-425E-863E-EE46D8A5E77E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0505" name="Text Box 25">
          <a:extLst>
            <a:ext uri="{FF2B5EF4-FFF2-40B4-BE49-F238E27FC236}">
              <a16:creationId xmlns:a16="http://schemas.microsoft.com/office/drawing/2014/main" id="{C20DFB45-DBB7-48F4-A6DC-73729F8C5CC2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0506" name="Text Box 26">
          <a:extLst>
            <a:ext uri="{FF2B5EF4-FFF2-40B4-BE49-F238E27FC236}">
              <a16:creationId xmlns:a16="http://schemas.microsoft.com/office/drawing/2014/main" id="{2E2D62C6-97B9-4A73-A7DD-B96FBCBC0792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0507" name="Text Box 27">
          <a:extLst>
            <a:ext uri="{FF2B5EF4-FFF2-40B4-BE49-F238E27FC236}">
              <a16:creationId xmlns:a16="http://schemas.microsoft.com/office/drawing/2014/main" id="{7496B372-1B20-43E5-82A9-75486568B34A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0508" name="Text Box 28">
          <a:extLst>
            <a:ext uri="{FF2B5EF4-FFF2-40B4-BE49-F238E27FC236}">
              <a16:creationId xmlns:a16="http://schemas.microsoft.com/office/drawing/2014/main" id="{443E54CC-CB88-47F9-ACC4-623C8F35E6F8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0509" name="Text Box 29">
          <a:extLst>
            <a:ext uri="{FF2B5EF4-FFF2-40B4-BE49-F238E27FC236}">
              <a16:creationId xmlns:a16="http://schemas.microsoft.com/office/drawing/2014/main" id="{7C7BB4ED-AB3E-4C5D-B7C6-418F75DFB57B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0510" name="Text Box 30">
          <a:extLst>
            <a:ext uri="{FF2B5EF4-FFF2-40B4-BE49-F238E27FC236}">
              <a16:creationId xmlns:a16="http://schemas.microsoft.com/office/drawing/2014/main" id="{048F14CE-6D6F-45DC-91F1-100F4EFFE723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0511" name="Text Box 31">
          <a:extLst>
            <a:ext uri="{FF2B5EF4-FFF2-40B4-BE49-F238E27FC236}">
              <a16:creationId xmlns:a16="http://schemas.microsoft.com/office/drawing/2014/main" id="{17FE54AD-13BA-4AA8-A9AB-BEAC09602766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0512" name="Text Box 32">
          <a:extLst>
            <a:ext uri="{FF2B5EF4-FFF2-40B4-BE49-F238E27FC236}">
              <a16:creationId xmlns:a16="http://schemas.microsoft.com/office/drawing/2014/main" id="{0E41FB32-8D9D-4A4F-9146-918229111E55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0513" name="Text Box 33">
          <a:extLst>
            <a:ext uri="{FF2B5EF4-FFF2-40B4-BE49-F238E27FC236}">
              <a16:creationId xmlns:a16="http://schemas.microsoft.com/office/drawing/2014/main" id="{936E6820-0C78-4E1E-BC2D-C41C43F90B2B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0514" name="Text Box 34">
          <a:extLst>
            <a:ext uri="{FF2B5EF4-FFF2-40B4-BE49-F238E27FC236}">
              <a16:creationId xmlns:a16="http://schemas.microsoft.com/office/drawing/2014/main" id="{A4068B75-065D-4FAD-AE0D-993B3A9C804B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0515" name="Text Box 35">
          <a:extLst>
            <a:ext uri="{FF2B5EF4-FFF2-40B4-BE49-F238E27FC236}">
              <a16:creationId xmlns:a16="http://schemas.microsoft.com/office/drawing/2014/main" id="{9A3AA8D6-E03B-4718-B7E7-082C1EDF3DD5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0516" name="Text Box 36">
          <a:extLst>
            <a:ext uri="{FF2B5EF4-FFF2-40B4-BE49-F238E27FC236}">
              <a16:creationId xmlns:a16="http://schemas.microsoft.com/office/drawing/2014/main" id="{A48DC27A-E85F-4621-86BC-64CAC6C17D7E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0517" name="Text Box 37">
          <a:extLst>
            <a:ext uri="{FF2B5EF4-FFF2-40B4-BE49-F238E27FC236}">
              <a16:creationId xmlns:a16="http://schemas.microsoft.com/office/drawing/2014/main" id="{58888D47-C63C-41B5-A531-502410798302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0518" name="Text Box 38">
          <a:extLst>
            <a:ext uri="{FF2B5EF4-FFF2-40B4-BE49-F238E27FC236}">
              <a16:creationId xmlns:a16="http://schemas.microsoft.com/office/drawing/2014/main" id="{1F928D1A-3FA8-4165-B1AD-5F8AC0858B75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0519" name="Text Box 39">
          <a:extLst>
            <a:ext uri="{FF2B5EF4-FFF2-40B4-BE49-F238E27FC236}">
              <a16:creationId xmlns:a16="http://schemas.microsoft.com/office/drawing/2014/main" id="{0E50806B-745E-4D34-ACB2-8386307786FF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0523" name="Text Box 43">
          <a:extLst>
            <a:ext uri="{FF2B5EF4-FFF2-40B4-BE49-F238E27FC236}">
              <a16:creationId xmlns:a16="http://schemas.microsoft.com/office/drawing/2014/main" id="{E859F5BE-56F1-4110-874C-479F95C9104E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0524" name="Text Box 44">
          <a:extLst>
            <a:ext uri="{FF2B5EF4-FFF2-40B4-BE49-F238E27FC236}">
              <a16:creationId xmlns:a16="http://schemas.microsoft.com/office/drawing/2014/main" id="{2233C0BC-6EAB-40FC-BB85-38C820948125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0525" name="Text Box 45">
          <a:extLst>
            <a:ext uri="{FF2B5EF4-FFF2-40B4-BE49-F238E27FC236}">
              <a16:creationId xmlns:a16="http://schemas.microsoft.com/office/drawing/2014/main" id="{B054A2AB-2A0E-41A5-8AAB-C44F2E6971D7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0526" name="Text Box 46">
          <a:extLst>
            <a:ext uri="{FF2B5EF4-FFF2-40B4-BE49-F238E27FC236}">
              <a16:creationId xmlns:a16="http://schemas.microsoft.com/office/drawing/2014/main" id="{ACEB40F8-BBA0-4EA1-BC38-E295E441A97E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0527" name="Text Box 47">
          <a:extLst>
            <a:ext uri="{FF2B5EF4-FFF2-40B4-BE49-F238E27FC236}">
              <a16:creationId xmlns:a16="http://schemas.microsoft.com/office/drawing/2014/main" id="{E8DB1AE9-0BC4-48F8-BC46-D71EEBB23CAA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0528" name="Text Box 48">
          <a:extLst>
            <a:ext uri="{FF2B5EF4-FFF2-40B4-BE49-F238E27FC236}">
              <a16:creationId xmlns:a16="http://schemas.microsoft.com/office/drawing/2014/main" id="{57EF9358-EA84-4527-9B76-1CB113F11AEC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0529" name="Text Box 49">
          <a:extLst>
            <a:ext uri="{FF2B5EF4-FFF2-40B4-BE49-F238E27FC236}">
              <a16:creationId xmlns:a16="http://schemas.microsoft.com/office/drawing/2014/main" id="{B09B8F63-A218-41FA-B182-CF21BDE7DABC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0530" name="Text Box 50">
          <a:extLst>
            <a:ext uri="{FF2B5EF4-FFF2-40B4-BE49-F238E27FC236}">
              <a16:creationId xmlns:a16="http://schemas.microsoft.com/office/drawing/2014/main" id="{DE07AE98-B7EC-48E2-A49E-55089CEE83AD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0531" name="Text Box 51">
          <a:extLst>
            <a:ext uri="{FF2B5EF4-FFF2-40B4-BE49-F238E27FC236}">
              <a16:creationId xmlns:a16="http://schemas.microsoft.com/office/drawing/2014/main" id="{5DE00F64-17CB-4092-9EDD-6E3EE08C4334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0532" name="Text Box 52">
          <a:extLst>
            <a:ext uri="{FF2B5EF4-FFF2-40B4-BE49-F238E27FC236}">
              <a16:creationId xmlns:a16="http://schemas.microsoft.com/office/drawing/2014/main" id="{8B950765-1935-42E2-9D51-230DB9D09CB4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0533" name="Text Box 53">
          <a:extLst>
            <a:ext uri="{FF2B5EF4-FFF2-40B4-BE49-F238E27FC236}">
              <a16:creationId xmlns:a16="http://schemas.microsoft.com/office/drawing/2014/main" id="{D7CD2E49-9768-42E8-B56E-ADDC509FCE60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0534" name="Text Box 54">
          <a:extLst>
            <a:ext uri="{FF2B5EF4-FFF2-40B4-BE49-F238E27FC236}">
              <a16:creationId xmlns:a16="http://schemas.microsoft.com/office/drawing/2014/main" id="{435268CB-7C91-492A-A23B-A46576663A3D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2</xdr:col>
      <xdr:colOff>466725</xdr:colOff>
      <xdr:row>84</xdr:row>
      <xdr:rowOff>123825</xdr:rowOff>
    </xdr:from>
    <xdr:to>
      <xdr:col>8</xdr:col>
      <xdr:colOff>285750</xdr:colOff>
      <xdr:row>89</xdr:row>
      <xdr:rowOff>85725</xdr:rowOff>
    </xdr:to>
    <xdr:sp macro="" textlink="">
      <xdr:nvSpPr>
        <xdr:cNvPr id="20536" name="Text Box 56">
          <a:extLst>
            <a:ext uri="{FF2B5EF4-FFF2-40B4-BE49-F238E27FC236}">
              <a16:creationId xmlns:a16="http://schemas.microsoft.com/office/drawing/2014/main" id="{8EFCE2CC-E2E5-4AD5-ABD0-718D3CCFF2EE}"/>
            </a:ext>
          </a:extLst>
        </xdr:cNvPr>
        <xdr:cNvSpPr txBox="1">
          <a:spLocks noChangeArrowheads="1"/>
        </xdr:cNvSpPr>
      </xdr:nvSpPr>
      <xdr:spPr bwMode="auto">
        <a:xfrm>
          <a:off x="1038225" y="13725525"/>
          <a:ext cx="4724400" cy="7715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Verdana"/>
            </a:rPr>
            <a:t>Form. 2013 - 22/11/00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info@patagonia-norte.com.ar      </a:t>
          </a:r>
        </a:p>
        <a:p>
          <a:pPr algn="ctr" rtl="0">
            <a:lnSpc>
              <a:spcPts val="900"/>
            </a:lnSpc>
            <a:defRPr sz="1000"/>
          </a:pPr>
          <a:endParaRPr lang="es-AR" sz="800" b="0" i="0" u="none" strike="noStrike" baseline="0">
            <a:solidFill>
              <a:srgbClr val="000080"/>
            </a:solidFill>
            <a:latin typeface="Verdana"/>
          </a:endParaRPr>
        </a:p>
        <a:p>
          <a:pPr algn="ctr" rtl="0">
            <a:lnSpc>
              <a:spcPts val="1100"/>
            </a:lnSpc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0</xdr:col>
      <xdr:colOff>57150</xdr:colOff>
      <xdr:row>0</xdr:row>
      <xdr:rowOff>57150</xdr:rowOff>
    </xdr:from>
    <xdr:to>
      <xdr:col>3</xdr:col>
      <xdr:colOff>390525</xdr:colOff>
      <xdr:row>8</xdr:row>
      <xdr:rowOff>38100</xdr:rowOff>
    </xdr:to>
    <xdr:pic>
      <xdr:nvPicPr>
        <xdr:cNvPr id="1902337" name="Imagen 32">
          <a:extLst>
            <a:ext uri="{FF2B5EF4-FFF2-40B4-BE49-F238E27FC236}">
              <a16:creationId xmlns:a16="http://schemas.microsoft.com/office/drawing/2014/main" id="{D1D1A781-6A87-485F-823C-BFA4BA4AE9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1733550" cy="127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1511" name="Text Box 7">
          <a:extLst>
            <a:ext uri="{FF2B5EF4-FFF2-40B4-BE49-F238E27FC236}">
              <a16:creationId xmlns:a16="http://schemas.microsoft.com/office/drawing/2014/main" id="{C51ECFAD-F611-43DE-831F-770992D66279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1512" name="Text Box 8">
          <a:extLst>
            <a:ext uri="{FF2B5EF4-FFF2-40B4-BE49-F238E27FC236}">
              <a16:creationId xmlns:a16="http://schemas.microsoft.com/office/drawing/2014/main" id="{D1B91C76-DC73-40D6-87D1-3C886F3BF2C7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1515" name="Text Box 11">
          <a:extLst>
            <a:ext uri="{FF2B5EF4-FFF2-40B4-BE49-F238E27FC236}">
              <a16:creationId xmlns:a16="http://schemas.microsoft.com/office/drawing/2014/main" id="{929B8A85-117F-474B-9F45-7E0CAB8B9C54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1516" name="Text Box 12">
          <a:extLst>
            <a:ext uri="{FF2B5EF4-FFF2-40B4-BE49-F238E27FC236}">
              <a16:creationId xmlns:a16="http://schemas.microsoft.com/office/drawing/2014/main" id="{44643B44-EA5F-445C-8905-5375F597C6ED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1517" name="Text Box 13">
          <a:extLst>
            <a:ext uri="{FF2B5EF4-FFF2-40B4-BE49-F238E27FC236}">
              <a16:creationId xmlns:a16="http://schemas.microsoft.com/office/drawing/2014/main" id="{3510C2AA-BFD0-4D33-B486-9C0604D95D1E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1518" name="Text Box 14">
          <a:extLst>
            <a:ext uri="{FF2B5EF4-FFF2-40B4-BE49-F238E27FC236}">
              <a16:creationId xmlns:a16="http://schemas.microsoft.com/office/drawing/2014/main" id="{80B7DC77-4D4B-4BDD-A2F5-C412DB0E38CB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1519" name="Text Box 15">
          <a:extLst>
            <a:ext uri="{FF2B5EF4-FFF2-40B4-BE49-F238E27FC236}">
              <a16:creationId xmlns:a16="http://schemas.microsoft.com/office/drawing/2014/main" id="{ECCD43D5-B3AA-493A-A4B5-0BD74023DB79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1520" name="Text Box 16">
          <a:extLst>
            <a:ext uri="{FF2B5EF4-FFF2-40B4-BE49-F238E27FC236}">
              <a16:creationId xmlns:a16="http://schemas.microsoft.com/office/drawing/2014/main" id="{C0967C59-93AF-49BB-B27B-92E2B0F35CB3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1521" name="Text Box 17">
          <a:extLst>
            <a:ext uri="{FF2B5EF4-FFF2-40B4-BE49-F238E27FC236}">
              <a16:creationId xmlns:a16="http://schemas.microsoft.com/office/drawing/2014/main" id="{B0847529-8EE1-42DC-B48D-B47425817BD0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1522" name="Text Box 18">
          <a:extLst>
            <a:ext uri="{FF2B5EF4-FFF2-40B4-BE49-F238E27FC236}">
              <a16:creationId xmlns:a16="http://schemas.microsoft.com/office/drawing/2014/main" id="{9855FBD7-E664-4280-AC28-4503748A05B9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1523" name="Text Box 19">
          <a:extLst>
            <a:ext uri="{FF2B5EF4-FFF2-40B4-BE49-F238E27FC236}">
              <a16:creationId xmlns:a16="http://schemas.microsoft.com/office/drawing/2014/main" id="{EE22AB86-675C-464C-AAD7-538605DDC9D6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1524" name="Text Box 20">
          <a:extLst>
            <a:ext uri="{FF2B5EF4-FFF2-40B4-BE49-F238E27FC236}">
              <a16:creationId xmlns:a16="http://schemas.microsoft.com/office/drawing/2014/main" id="{46171EC8-59BB-4988-A12E-1D6EA2C83ACE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1525" name="Text Box 21">
          <a:extLst>
            <a:ext uri="{FF2B5EF4-FFF2-40B4-BE49-F238E27FC236}">
              <a16:creationId xmlns:a16="http://schemas.microsoft.com/office/drawing/2014/main" id="{FD534D0F-E7F4-4F34-9E01-6DAD650B297C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1526" name="Text Box 22">
          <a:extLst>
            <a:ext uri="{FF2B5EF4-FFF2-40B4-BE49-F238E27FC236}">
              <a16:creationId xmlns:a16="http://schemas.microsoft.com/office/drawing/2014/main" id="{68A5B18F-034B-48DB-B102-AAA6EF701422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1527" name="Text Box 23">
          <a:extLst>
            <a:ext uri="{FF2B5EF4-FFF2-40B4-BE49-F238E27FC236}">
              <a16:creationId xmlns:a16="http://schemas.microsoft.com/office/drawing/2014/main" id="{18FC7E7C-6645-4923-9678-258D6D93D22B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1528" name="Text Box 24">
          <a:extLst>
            <a:ext uri="{FF2B5EF4-FFF2-40B4-BE49-F238E27FC236}">
              <a16:creationId xmlns:a16="http://schemas.microsoft.com/office/drawing/2014/main" id="{9572CF1D-A616-4132-97BE-FA8FB6B548A5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1529" name="Text Box 25">
          <a:extLst>
            <a:ext uri="{FF2B5EF4-FFF2-40B4-BE49-F238E27FC236}">
              <a16:creationId xmlns:a16="http://schemas.microsoft.com/office/drawing/2014/main" id="{BF58EA6A-9FA9-4EDA-82B9-28BBF4F78071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1530" name="Text Box 26">
          <a:extLst>
            <a:ext uri="{FF2B5EF4-FFF2-40B4-BE49-F238E27FC236}">
              <a16:creationId xmlns:a16="http://schemas.microsoft.com/office/drawing/2014/main" id="{6DEC7EDC-4021-4121-A702-4D7A8982DEEA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1532" name="Text Box 28">
          <a:extLst>
            <a:ext uri="{FF2B5EF4-FFF2-40B4-BE49-F238E27FC236}">
              <a16:creationId xmlns:a16="http://schemas.microsoft.com/office/drawing/2014/main" id="{5434813C-C020-4EAF-BC55-4097F66F14BB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1533" name="Text Box 29">
          <a:extLst>
            <a:ext uri="{FF2B5EF4-FFF2-40B4-BE49-F238E27FC236}">
              <a16:creationId xmlns:a16="http://schemas.microsoft.com/office/drawing/2014/main" id="{1B95DE12-4C6C-4256-8746-1D461DD48CEF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1534" name="Text Box 30">
          <a:extLst>
            <a:ext uri="{FF2B5EF4-FFF2-40B4-BE49-F238E27FC236}">
              <a16:creationId xmlns:a16="http://schemas.microsoft.com/office/drawing/2014/main" id="{77F69095-35E2-4DE1-8869-6A1643ED7E7E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1535" name="Text Box 31">
          <a:extLst>
            <a:ext uri="{FF2B5EF4-FFF2-40B4-BE49-F238E27FC236}">
              <a16:creationId xmlns:a16="http://schemas.microsoft.com/office/drawing/2014/main" id="{991C5F99-97EF-447F-94BC-D243E49A77A4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1536" name="Text Box 32">
          <a:extLst>
            <a:ext uri="{FF2B5EF4-FFF2-40B4-BE49-F238E27FC236}">
              <a16:creationId xmlns:a16="http://schemas.microsoft.com/office/drawing/2014/main" id="{61636D84-4BE2-49EA-AAB7-4543D1362F6E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1537" name="Text Box 33">
          <a:extLst>
            <a:ext uri="{FF2B5EF4-FFF2-40B4-BE49-F238E27FC236}">
              <a16:creationId xmlns:a16="http://schemas.microsoft.com/office/drawing/2014/main" id="{D43A7769-DE69-4DBA-99A2-46D7CD412D68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1538" name="Text Box 34">
          <a:extLst>
            <a:ext uri="{FF2B5EF4-FFF2-40B4-BE49-F238E27FC236}">
              <a16:creationId xmlns:a16="http://schemas.microsoft.com/office/drawing/2014/main" id="{CFC39220-0A7B-4014-950E-DABC38661DD1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1539" name="Text Box 35">
          <a:extLst>
            <a:ext uri="{FF2B5EF4-FFF2-40B4-BE49-F238E27FC236}">
              <a16:creationId xmlns:a16="http://schemas.microsoft.com/office/drawing/2014/main" id="{3331588A-45EB-433A-9A96-326D97BC419A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1540" name="Text Box 36">
          <a:extLst>
            <a:ext uri="{FF2B5EF4-FFF2-40B4-BE49-F238E27FC236}">
              <a16:creationId xmlns:a16="http://schemas.microsoft.com/office/drawing/2014/main" id="{134F7228-F015-4137-B17C-82B76A2137C6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1541" name="Text Box 37">
          <a:extLst>
            <a:ext uri="{FF2B5EF4-FFF2-40B4-BE49-F238E27FC236}">
              <a16:creationId xmlns:a16="http://schemas.microsoft.com/office/drawing/2014/main" id="{2D5384B6-B506-4B14-903E-86195BEF64A4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1542" name="Text Box 38">
          <a:extLst>
            <a:ext uri="{FF2B5EF4-FFF2-40B4-BE49-F238E27FC236}">
              <a16:creationId xmlns:a16="http://schemas.microsoft.com/office/drawing/2014/main" id="{65757483-90B0-4407-9732-FEA8D0F0A11C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1543" name="Text Box 39">
          <a:extLst>
            <a:ext uri="{FF2B5EF4-FFF2-40B4-BE49-F238E27FC236}">
              <a16:creationId xmlns:a16="http://schemas.microsoft.com/office/drawing/2014/main" id="{1089D792-ACCD-47EF-AED7-D2D968D61A20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2</xdr:col>
      <xdr:colOff>419100</xdr:colOff>
      <xdr:row>81</xdr:row>
      <xdr:rowOff>9525</xdr:rowOff>
    </xdr:from>
    <xdr:to>
      <xdr:col>8</xdr:col>
      <xdr:colOff>190500</xdr:colOff>
      <xdr:row>85</xdr:row>
      <xdr:rowOff>104775</xdr:rowOff>
    </xdr:to>
    <xdr:sp macro="" textlink="">
      <xdr:nvSpPr>
        <xdr:cNvPr id="21545" name="Text Box 41">
          <a:extLst>
            <a:ext uri="{FF2B5EF4-FFF2-40B4-BE49-F238E27FC236}">
              <a16:creationId xmlns:a16="http://schemas.microsoft.com/office/drawing/2014/main" id="{B9388FE5-1C5E-44D8-BB34-2AAB4B6D6F6E}"/>
            </a:ext>
          </a:extLst>
        </xdr:cNvPr>
        <xdr:cNvSpPr txBox="1">
          <a:spLocks noChangeArrowheads="1"/>
        </xdr:cNvSpPr>
      </xdr:nvSpPr>
      <xdr:spPr bwMode="auto">
        <a:xfrm>
          <a:off x="990600" y="12963525"/>
          <a:ext cx="4676775" cy="7429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Verdana"/>
            </a:rPr>
            <a:t>Form. 2013 - 22/11/00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info@patagonia-norte.com.ar      </a:t>
          </a:r>
        </a:p>
        <a:p>
          <a:pPr algn="ctr" rtl="0">
            <a:lnSpc>
              <a:spcPts val="900"/>
            </a:lnSpc>
            <a:defRPr sz="1000"/>
          </a:pPr>
          <a:endParaRPr lang="es-AR" sz="800" b="0" i="0" u="none" strike="noStrike" baseline="0">
            <a:solidFill>
              <a:srgbClr val="000080"/>
            </a:solidFill>
            <a:latin typeface="Verdana"/>
          </a:endParaRPr>
        </a:p>
        <a:p>
          <a:pPr algn="ctr" rtl="0">
            <a:lnSpc>
              <a:spcPts val="1100"/>
            </a:lnSpc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0</xdr:col>
      <xdr:colOff>57150</xdr:colOff>
      <xdr:row>0</xdr:row>
      <xdr:rowOff>57150</xdr:rowOff>
    </xdr:from>
    <xdr:to>
      <xdr:col>3</xdr:col>
      <xdr:colOff>390525</xdr:colOff>
      <xdr:row>8</xdr:row>
      <xdr:rowOff>38100</xdr:rowOff>
    </xdr:to>
    <xdr:pic>
      <xdr:nvPicPr>
        <xdr:cNvPr id="1928739" name="Imagen 35">
          <a:extLst>
            <a:ext uri="{FF2B5EF4-FFF2-40B4-BE49-F238E27FC236}">
              <a16:creationId xmlns:a16="http://schemas.microsoft.com/office/drawing/2014/main" id="{71028EEF-F95B-41CB-ABAB-67E6E6F41A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1733550" cy="127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2535" name="Text Box 7">
          <a:extLst>
            <a:ext uri="{FF2B5EF4-FFF2-40B4-BE49-F238E27FC236}">
              <a16:creationId xmlns:a16="http://schemas.microsoft.com/office/drawing/2014/main" id="{BA20EB50-D7C2-4705-9EA9-1C99A2068793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2536" name="Text Box 8">
          <a:extLst>
            <a:ext uri="{FF2B5EF4-FFF2-40B4-BE49-F238E27FC236}">
              <a16:creationId xmlns:a16="http://schemas.microsoft.com/office/drawing/2014/main" id="{61FAA681-0F04-42FF-A202-D7237119B8E4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ES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2539" name="Text Box 11">
          <a:extLst>
            <a:ext uri="{FF2B5EF4-FFF2-40B4-BE49-F238E27FC236}">
              <a16:creationId xmlns:a16="http://schemas.microsoft.com/office/drawing/2014/main" id="{ED225523-3743-44C6-B4D7-85ABE84AAFAE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2540" name="Text Box 12">
          <a:extLst>
            <a:ext uri="{FF2B5EF4-FFF2-40B4-BE49-F238E27FC236}">
              <a16:creationId xmlns:a16="http://schemas.microsoft.com/office/drawing/2014/main" id="{A226B503-647B-420A-96EC-4179C9AED4CE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ES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2541" name="Text Box 13">
          <a:extLst>
            <a:ext uri="{FF2B5EF4-FFF2-40B4-BE49-F238E27FC236}">
              <a16:creationId xmlns:a16="http://schemas.microsoft.com/office/drawing/2014/main" id="{8B4D9E59-552A-42C9-B0DF-466DD935C700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2542" name="Text Box 14">
          <a:extLst>
            <a:ext uri="{FF2B5EF4-FFF2-40B4-BE49-F238E27FC236}">
              <a16:creationId xmlns:a16="http://schemas.microsoft.com/office/drawing/2014/main" id="{770ADA11-BC21-4064-8BC8-7D0E4D055A99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ES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2543" name="Text Box 15">
          <a:extLst>
            <a:ext uri="{FF2B5EF4-FFF2-40B4-BE49-F238E27FC236}">
              <a16:creationId xmlns:a16="http://schemas.microsoft.com/office/drawing/2014/main" id="{F65974A6-A2A9-4EC4-BAB9-E3816239749B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2544" name="Text Box 16">
          <a:extLst>
            <a:ext uri="{FF2B5EF4-FFF2-40B4-BE49-F238E27FC236}">
              <a16:creationId xmlns:a16="http://schemas.microsoft.com/office/drawing/2014/main" id="{07553EF1-967F-416E-BB29-37F77A416C3F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ES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2545" name="Text Box 17">
          <a:extLst>
            <a:ext uri="{FF2B5EF4-FFF2-40B4-BE49-F238E27FC236}">
              <a16:creationId xmlns:a16="http://schemas.microsoft.com/office/drawing/2014/main" id="{F405DC0D-F6B4-4902-8FE3-68506455C0F3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2546" name="Text Box 18">
          <a:extLst>
            <a:ext uri="{FF2B5EF4-FFF2-40B4-BE49-F238E27FC236}">
              <a16:creationId xmlns:a16="http://schemas.microsoft.com/office/drawing/2014/main" id="{5FC8174A-7CD7-46F8-BA2E-B14AFF7BB861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ES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2547" name="Text Box 19">
          <a:extLst>
            <a:ext uri="{FF2B5EF4-FFF2-40B4-BE49-F238E27FC236}">
              <a16:creationId xmlns:a16="http://schemas.microsoft.com/office/drawing/2014/main" id="{B76E8069-19CD-405D-B3CD-FCFC44B429FF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2548" name="Text Box 20">
          <a:extLst>
            <a:ext uri="{FF2B5EF4-FFF2-40B4-BE49-F238E27FC236}">
              <a16:creationId xmlns:a16="http://schemas.microsoft.com/office/drawing/2014/main" id="{D929FD13-82BB-4B0B-A4C7-10768A0AC961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ES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2549" name="Text Box 21">
          <a:extLst>
            <a:ext uri="{FF2B5EF4-FFF2-40B4-BE49-F238E27FC236}">
              <a16:creationId xmlns:a16="http://schemas.microsoft.com/office/drawing/2014/main" id="{5014F0FD-25FC-430C-BA9E-8156F1BA0FD7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2550" name="Text Box 22">
          <a:extLst>
            <a:ext uri="{FF2B5EF4-FFF2-40B4-BE49-F238E27FC236}">
              <a16:creationId xmlns:a16="http://schemas.microsoft.com/office/drawing/2014/main" id="{ED8BFFCE-EA3F-4F9D-8026-5C1736A08A82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ES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2551" name="Text Box 23">
          <a:extLst>
            <a:ext uri="{FF2B5EF4-FFF2-40B4-BE49-F238E27FC236}">
              <a16:creationId xmlns:a16="http://schemas.microsoft.com/office/drawing/2014/main" id="{EDB743A3-962A-4C30-B49C-3F176D23915C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2552" name="Text Box 24">
          <a:extLst>
            <a:ext uri="{FF2B5EF4-FFF2-40B4-BE49-F238E27FC236}">
              <a16:creationId xmlns:a16="http://schemas.microsoft.com/office/drawing/2014/main" id="{6C9B2702-6FBC-499D-A875-002625D7FB0F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ES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2553" name="Text Box 25">
          <a:extLst>
            <a:ext uri="{FF2B5EF4-FFF2-40B4-BE49-F238E27FC236}">
              <a16:creationId xmlns:a16="http://schemas.microsoft.com/office/drawing/2014/main" id="{87ECC807-7BD1-46E8-946E-8CE43E98C9CE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2554" name="Text Box 26">
          <a:extLst>
            <a:ext uri="{FF2B5EF4-FFF2-40B4-BE49-F238E27FC236}">
              <a16:creationId xmlns:a16="http://schemas.microsoft.com/office/drawing/2014/main" id="{35ABE1ED-627E-448D-8BEF-882A27ACF247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ES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2555" name="Text Box 27">
          <a:extLst>
            <a:ext uri="{FF2B5EF4-FFF2-40B4-BE49-F238E27FC236}">
              <a16:creationId xmlns:a16="http://schemas.microsoft.com/office/drawing/2014/main" id="{DEC8F5A7-C405-4D7A-A5D4-9C307D31BF18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2556" name="Text Box 28">
          <a:extLst>
            <a:ext uri="{FF2B5EF4-FFF2-40B4-BE49-F238E27FC236}">
              <a16:creationId xmlns:a16="http://schemas.microsoft.com/office/drawing/2014/main" id="{7D642799-6AB3-4766-B58A-A747357CF665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ES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2558" name="Text Box 30">
          <a:extLst>
            <a:ext uri="{FF2B5EF4-FFF2-40B4-BE49-F238E27FC236}">
              <a16:creationId xmlns:a16="http://schemas.microsoft.com/office/drawing/2014/main" id="{7E5BF6B6-8A25-4CE5-A5D8-0D59B7EB7EC4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2559" name="Text Box 31">
          <a:extLst>
            <a:ext uri="{FF2B5EF4-FFF2-40B4-BE49-F238E27FC236}">
              <a16:creationId xmlns:a16="http://schemas.microsoft.com/office/drawing/2014/main" id="{389ED084-C4E4-4958-9A74-BD66F30755F6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ES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2560" name="Text Box 32">
          <a:extLst>
            <a:ext uri="{FF2B5EF4-FFF2-40B4-BE49-F238E27FC236}">
              <a16:creationId xmlns:a16="http://schemas.microsoft.com/office/drawing/2014/main" id="{33EA9089-9E85-435B-A9F9-FEADDCB5C26D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2561" name="Text Box 33">
          <a:extLst>
            <a:ext uri="{FF2B5EF4-FFF2-40B4-BE49-F238E27FC236}">
              <a16:creationId xmlns:a16="http://schemas.microsoft.com/office/drawing/2014/main" id="{028AE434-917A-4A60-BF2A-78016F50B369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ES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2562" name="Text Box 34">
          <a:extLst>
            <a:ext uri="{FF2B5EF4-FFF2-40B4-BE49-F238E27FC236}">
              <a16:creationId xmlns:a16="http://schemas.microsoft.com/office/drawing/2014/main" id="{F41474D4-386D-4E41-9D20-A3B73E86DFA2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2563" name="Text Box 35">
          <a:extLst>
            <a:ext uri="{FF2B5EF4-FFF2-40B4-BE49-F238E27FC236}">
              <a16:creationId xmlns:a16="http://schemas.microsoft.com/office/drawing/2014/main" id="{6DCCC462-D28F-463F-87D8-74EC166CD18B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ES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2564" name="Text Box 36">
          <a:extLst>
            <a:ext uri="{FF2B5EF4-FFF2-40B4-BE49-F238E27FC236}">
              <a16:creationId xmlns:a16="http://schemas.microsoft.com/office/drawing/2014/main" id="{C8ACFFCB-A264-4D60-BA1F-8172C45B8F89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2565" name="Text Box 37">
          <a:extLst>
            <a:ext uri="{FF2B5EF4-FFF2-40B4-BE49-F238E27FC236}">
              <a16:creationId xmlns:a16="http://schemas.microsoft.com/office/drawing/2014/main" id="{E708CBBA-0C42-49C4-8CA6-F697B6F781A5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ES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2566" name="Text Box 38">
          <a:extLst>
            <a:ext uri="{FF2B5EF4-FFF2-40B4-BE49-F238E27FC236}">
              <a16:creationId xmlns:a16="http://schemas.microsoft.com/office/drawing/2014/main" id="{147FEEC3-430A-466B-9B18-E9670538568C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2567" name="Text Box 39">
          <a:extLst>
            <a:ext uri="{FF2B5EF4-FFF2-40B4-BE49-F238E27FC236}">
              <a16:creationId xmlns:a16="http://schemas.microsoft.com/office/drawing/2014/main" id="{0794C54A-7190-47A2-BA85-90B7D0DB40C2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ES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2568" name="Text Box 40">
          <a:extLst>
            <a:ext uri="{FF2B5EF4-FFF2-40B4-BE49-F238E27FC236}">
              <a16:creationId xmlns:a16="http://schemas.microsoft.com/office/drawing/2014/main" id="{865DC4DD-EC92-426D-87C7-9F2CF2989B66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2569" name="Text Box 41">
          <a:extLst>
            <a:ext uri="{FF2B5EF4-FFF2-40B4-BE49-F238E27FC236}">
              <a16:creationId xmlns:a16="http://schemas.microsoft.com/office/drawing/2014/main" id="{63E637C7-5071-4596-86DF-75E35B26DBD1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ES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2</xdr:col>
      <xdr:colOff>571500</xdr:colOff>
      <xdr:row>80</xdr:row>
      <xdr:rowOff>76200</xdr:rowOff>
    </xdr:from>
    <xdr:to>
      <xdr:col>8</xdr:col>
      <xdr:colOff>266700</xdr:colOff>
      <xdr:row>84</xdr:row>
      <xdr:rowOff>0</xdr:rowOff>
    </xdr:to>
    <xdr:sp macro="" textlink="">
      <xdr:nvSpPr>
        <xdr:cNvPr id="187426" name="Text Box 2">
          <a:extLst>
            <a:ext uri="{FF2B5EF4-FFF2-40B4-BE49-F238E27FC236}">
              <a16:creationId xmlns:a16="http://schemas.microsoft.com/office/drawing/2014/main" id="{C773FFDB-363A-4D54-A52B-0075C6A36494}"/>
            </a:ext>
          </a:extLst>
        </xdr:cNvPr>
        <xdr:cNvSpPr txBox="1">
          <a:spLocks noChangeArrowheads="1"/>
        </xdr:cNvSpPr>
      </xdr:nvSpPr>
      <xdr:spPr bwMode="auto">
        <a:xfrm>
          <a:off x="1143000" y="13030200"/>
          <a:ext cx="5057775" cy="5715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- 22/11/00</a:t>
          </a:r>
          <a:r>
            <a:rPr lang="es-AR" sz="800" b="1" i="0" u="none" strike="noStrike" baseline="0">
              <a:solidFill>
                <a:srgbClr val="000080"/>
              </a:solidFill>
              <a:latin typeface="Verdana"/>
            </a:rPr>
            <a:t> 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info@patagonia-norte.com.ar</a:t>
          </a:r>
        </a:p>
      </xdr:txBody>
    </xdr:sp>
    <xdr:clientData/>
  </xdr:twoCellAnchor>
  <xdr:twoCellAnchor editAs="oneCell">
    <xdr:from>
      <xdr:col>0</xdr:col>
      <xdr:colOff>57150</xdr:colOff>
      <xdr:row>0</xdr:row>
      <xdr:rowOff>47625</xdr:rowOff>
    </xdr:from>
    <xdr:to>
      <xdr:col>3</xdr:col>
      <xdr:colOff>390525</xdr:colOff>
      <xdr:row>8</xdr:row>
      <xdr:rowOff>28575</xdr:rowOff>
    </xdr:to>
    <xdr:pic>
      <xdr:nvPicPr>
        <xdr:cNvPr id="1954117" name="Imagen 35">
          <a:extLst>
            <a:ext uri="{FF2B5EF4-FFF2-40B4-BE49-F238E27FC236}">
              <a16:creationId xmlns:a16="http://schemas.microsoft.com/office/drawing/2014/main" id="{F482E013-9137-49DF-B0A3-D1C5BFA3FB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47625"/>
          <a:ext cx="1733550" cy="127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3560" name="Text Box 8">
          <a:extLst>
            <a:ext uri="{FF2B5EF4-FFF2-40B4-BE49-F238E27FC236}">
              <a16:creationId xmlns:a16="http://schemas.microsoft.com/office/drawing/2014/main" id="{13FBC5BD-CBB9-4A64-9F6B-2BA7E979CC49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3561" name="Text Box 9">
          <a:extLst>
            <a:ext uri="{FF2B5EF4-FFF2-40B4-BE49-F238E27FC236}">
              <a16:creationId xmlns:a16="http://schemas.microsoft.com/office/drawing/2014/main" id="{1F7CAF9E-BB64-404C-AA3D-898FBD0CB283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800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3564" name="Text Box 12">
          <a:extLst>
            <a:ext uri="{FF2B5EF4-FFF2-40B4-BE49-F238E27FC236}">
              <a16:creationId xmlns:a16="http://schemas.microsoft.com/office/drawing/2014/main" id="{4E33E883-0EF3-409F-B422-EE5A4C316584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3565" name="Text Box 13">
          <a:extLst>
            <a:ext uri="{FF2B5EF4-FFF2-40B4-BE49-F238E27FC236}">
              <a16:creationId xmlns:a16="http://schemas.microsoft.com/office/drawing/2014/main" id="{B1B2FD6C-CB95-4D78-94FD-D80DD30D960D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800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3566" name="Text Box 14">
          <a:extLst>
            <a:ext uri="{FF2B5EF4-FFF2-40B4-BE49-F238E27FC236}">
              <a16:creationId xmlns:a16="http://schemas.microsoft.com/office/drawing/2014/main" id="{6D073CA2-264B-43E1-BC41-C0B753BD649F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3567" name="Text Box 15">
          <a:extLst>
            <a:ext uri="{FF2B5EF4-FFF2-40B4-BE49-F238E27FC236}">
              <a16:creationId xmlns:a16="http://schemas.microsoft.com/office/drawing/2014/main" id="{8F4EA1C1-D2F7-4940-B461-BF0BC43EC715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800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3568" name="Text Box 16">
          <a:extLst>
            <a:ext uri="{FF2B5EF4-FFF2-40B4-BE49-F238E27FC236}">
              <a16:creationId xmlns:a16="http://schemas.microsoft.com/office/drawing/2014/main" id="{ACA10483-B7E8-4D13-9615-2711EA809140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3569" name="Text Box 17">
          <a:extLst>
            <a:ext uri="{FF2B5EF4-FFF2-40B4-BE49-F238E27FC236}">
              <a16:creationId xmlns:a16="http://schemas.microsoft.com/office/drawing/2014/main" id="{988C1C47-6FEA-4FF2-A83A-D6E4E0103D04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800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3570" name="Text Box 18">
          <a:extLst>
            <a:ext uri="{FF2B5EF4-FFF2-40B4-BE49-F238E27FC236}">
              <a16:creationId xmlns:a16="http://schemas.microsoft.com/office/drawing/2014/main" id="{295B976C-151A-4BED-87A9-674E8340E4F1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3571" name="Text Box 19">
          <a:extLst>
            <a:ext uri="{FF2B5EF4-FFF2-40B4-BE49-F238E27FC236}">
              <a16:creationId xmlns:a16="http://schemas.microsoft.com/office/drawing/2014/main" id="{600D21DB-E1A2-4C5B-BEEE-5B6EA7CC9949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800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3572" name="Text Box 20">
          <a:extLst>
            <a:ext uri="{FF2B5EF4-FFF2-40B4-BE49-F238E27FC236}">
              <a16:creationId xmlns:a16="http://schemas.microsoft.com/office/drawing/2014/main" id="{8E446068-438F-4F06-8A05-226EAD8C3688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3573" name="Text Box 21">
          <a:extLst>
            <a:ext uri="{FF2B5EF4-FFF2-40B4-BE49-F238E27FC236}">
              <a16:creationId xmlns:a16="http://schemas.microsoft.com/office/drawing/2014/main" id="{CBEE3EC6-C036-4DAA-9852-13B159D09DBC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800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3574" name="Text Box 22">
          <a:extLst>
            <a:ext uri="{FF2B5EF4-FFF2-40B4-BE49-F238E27FC236}">
              <a16:creationId xmlns:a16="http://schemas.microsoft.com/office/drawing/2014/main" id="{83D60C2C-38A1-43FC-ADDE-B5C101053123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3575" name="Text Box 23">
          <a:extLst>
            <a:ext uri="{FF2B5EF4-FFF2-40B4-BE49-F238E27FC236}">
              <a16:creationId xmlns:a16="http://schemas.microsoft.com/office/drawing/2014/main" id="{FEC1E5DF-6F82-4CAA-803B-A39524A48A90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800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3576" name="Text Box 24">
          <a:extLst>
            <a:ext uri="{FF2B5EF4-FFF2-40B4-BE49-F238E27FC236}">
              <a16:creationId xmlns:a16="http://schemas.microsoft.com/office/drawing/2014/main" id="{F2677AE7-C20E-45C8-B07D-6560EE0A580F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3577" name="Text Box 25">
          <a:extLst>
            <a:ext uri="{FF2B5EF4-FFF2-40B4-BE49-F238E27FC236}">
              <a16:creationId xmlns:a16="http://schemas.microsoft.com/office/drawing/2014/main" id="{CC70C27E-A267-405E-8485-36178AAC8C03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800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3578" name="Text Box 26">
          <a:extLst>
            <a:ext uri="{FF2B5EF4-FFF2-40B4-BE49-F238E27FC236}">
              <a16:creationId xmlns:a16="http://schemas.microsoft.com/office/drawing/2014/main" id="{D42117F0-3560-4DD8-BFF3-3DDFFDE64BBF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3579" name="Text Box 27">
          <a:extLst>
            <a:ext uri="{FF2B5EF4-FFF2-40B4-BE49-F238E27FC236}">
              <a16:creationId xmlns:a16="http://schemas.microsoft.com/office/drawing/2014/main" id="{714B8150-39CD-4E8F-B322-C8276C1857A8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800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3580" name="Text Box 28">
          <a:extLst>
            <a:ext uri="{FF2B5EF4-FFF2-40B4-BE49-F238E27FC236}">
              <a16:creationId xmlns:a16="http://schemas.microsoft.com/office/drawing/2014/main" id="{347786E5-5907-4022-A2B3-83960004B0D2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3581" name="Text Box 29">
          <a:extLst>
            <a:ext uri="{FF2B5EF4-FFF2-40B4-BE49-F238E27FC236}">
              <a16:creationId xmlns:a16="http://schemas.microsoft.com/office/drawing/2014/main" id="{30691891-DB06-4D9E-B16D-0EB3ABD01664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800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3582" name="Text Box 30">
          <a:extLst>
            <a:ext uri="{FF2B5EF4-FFF2-40B4-BE49-F238E27FC236}">
              <a16:creationId xmlns:a16="http://schemas.microsoft.com/office/drawing/2014/main" id="{7F323E83-7BAD-4FF1-AEEA-7E29711B1BF4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3583" name="Text Box 31">
          <a:extLst>
            <a:ext uri="{FF2B5EF4-FFF2-40B4-BE49-F238E27FC236}">
              <a16:creationId xmlns:a16="http://schemas.microsoft.com/office/drawing/2014/main" id="{6724A99F-E040-43E3-802C-CA37BF5AD8E2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800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3585" name="Text Box 33">
          <a:extLst>
            <a:ext uri="{FF2B5EF4-FFF2-40B4-BE49-F238E27FC236}">
              <a16:creationId xmlns:a16="http://schemas.microsoft.com/office/drawing/2014/main" id="{35C78153-EDFF-41FF-9C2D-92F258208735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3586" name="Text Box 34">
          <a:extLst>
            <a:ext uri="{FF2B5EF4-FFF2-40B4-BE49-F238E27FC236}">
              <a16:creationId xmlns:a16="http://schemas.microsoft.com/office/drawing/2014/main" id="{92A86886-7352-4FE5-BC24-87E47FAC669C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800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3587" name="Text Box 35">
          <a:extLst>
            <a:ext uri="{FF2B5EF4-FFF2-40B4-BE49-F238E27FC236}">
              <a16:creationId xmlns:a16="http://schemas.microsoft.com/office/drawing/2014/main" id="{C6A0018C-A0C3-450A-BCD9-18BC57EB7FFA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3588" name="Text Box 36">
          <a:extLst>
            <a:ext uri="{FF2B5EF4-FFF2-40B4-BE49-F238E27FC236}">
              <a16:creationId xmlns:a16="http://schemas.microsoft.com/office/drawing/2014/main" id="{85EFAAE5-33E9-4868-BD22-DF29CCA37785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800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3589" name="Text Box 37">
          <a:extLst>
            <a:ext uri="{FF2B5EF4-FFF2-40B4-BE49-F238E27FC236}">
              <a16:creationId xmlns:a16="http://schemas.microsoft.com/office/drawing/2014/main" id="{D9B77496-2127-492C-9CE4-2B7FF2B47B87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3590" name="Text Box 38">
          <a:extLst>
            <a:ext uri="{FF2B5EF4-FFF2-40B4-BE49-F238E27FC236}">
              <a16:creationId xmlns:a16="http://schemas.microsoft.com/office/drawing/2014/main" id="{B6FCC004-263C-4CE0-A813-243ABC0E4C28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800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3591" name="Text Box 39">
          <a:extLst>
            <a:ext uri="{FF2B5EF4-FFF2-40B4-BE49-F238E27FC236}">
              <a16:creationId xmlns:a16="http://schemas.microsoft.com/office/drawing/2014/main" id="{D80D3B7D-041B-4829-A5A2-F872860E7B1E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3592" name="Text Box 40">
          <a:extLst>
            <a:ext uri="{FF2B5EF4-FFF2-40B4-BE49-F238E27FC236}">
              <a16:creationId xmlns:a16="http://schemas.microsoft.com/office/drawing/2014/main" id="{6D42AA0E-0E5C-4AA4-98B2-E1AFA6A2F733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800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3593" name="Text Box 41">
          <a:extLst>
            <a:ext uri="{FF2B5EF4-FFF2-40B4-BE49-F238E27FC236}">
              <a16:creationId xmlns:a16="http://schemas.microsoft.com/office/drawing/2014/main" id="{C17D5933-22FA-4177-B610-D2AA52802FA8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3594" name="Text Box 42">
          <a:extLst>
            <a:ext uri="{FF2B5EF4-FFF2-40B4-BE49-F238E27FC236}">
              <a16:creationId xmlns:a16="http://schemas.microsoft.com/office/drawing/2014/main" id="{21FCB36F-8D57-4594-BD9B-0649967BC526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800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3595" name="Text Box 43">
          <a:extLst>
            <a:ext uri="{FF2B5EF4-FFF2-40B4-BE49-F238E27FC236}">
              <a16:creationId xmlns:a16="http://schemas.microsoft.com/office/drawing/2014/main" id="{D4B88F44-2E32-4B42-9C6E-D8EDA85665D6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3596" name="Text Box 44">
          <a:extLst>
            <a:ext uri="{FF2B5EF4-FFF2-40B4-BE49-F238E27FC236}">
              <a16:creationId xmlns:a16="http://schemas.microsoft.com/office/drawing/2014/main" id="{C8640417-8388-4AE5-8A94-D969DB5D5E2F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800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2</xdr:col>
      <xdr:colOff>666750</xdr:colOff>
      <xdr:row>82</xdr:row>
      <xdr:rowOff>133350</xdr:rowOff>
    </xdr:from>
    <xdr:to>
      <xdr:col>8</xdr:col>
      <xdr:colOff>247650</xdr:colOff>
      <xdr:row>87</xdr:row>
      <xdr:rowOff>95250</xdr:rowOff>
    </xdr:to>
    <xdr:sp macro="" textlink="">
      <xdr:nvSpPr>
        <xdr:cNvPr id="23597" name="Text Box 45">
          <a:extLst>
            <a:ext uri="{FF2B5EF4-FFF2-40B4-BE49-F238E27FC236}">
              <a16:creationId xmlns:a16="http://schemas.microsoft.com/office/drawing/2014/main" id="{B61D88F1-2092-4873-968B-28CB55787744}"/>
            </a:ext>
          </a:extLst>
        </xdr:cNvPr>
        <xdr:cNvSpPr txBox="1">
          <a:spLocks noChangeArrowheads="1"/>
        </xdr:cNvSpPr>
      </xdr:nvSpPr>
      <xdr:spPr bwMode="auto">
        <a:xfrm>
          <a:off x="1238250" y="13411200"/>
          <a:ext cx="4724400" cy="7715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Verdana"/>
            </a:rPr>
            <a:t>Form. 2013 - 22/11/00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info@patagonia-norte.com.ar      </a:t>
          </a:r>
        </a:p>
        <a:p>
          <a:pPr algn="ctr" rtl="0">
            <a:lnSpc>
              <a:spcPts val="900"/>
            </a:lnSpc>
            <a:defRPr sz="1000"/>
          </a:pPr>
          <a:endParaRPr lang="es-AR" sz="800" b="0" i="0" u="none" strike="noStrike" baseline="0">
            <a:solidFill>
              <a:srgbClr val="000080"/>
            </a:solidFill>
            <a:latin typeface="Verdana"/>
          </a:endParaRPr>
        </a:p>
        <a:p>
          <a:pPr algn="ctr" rtl="0">
            <a:lnSpc>
              <a:spcPts val="1100"/>
            </a:lnSpc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0</xdr:col>
      <xdr:colOff>57150</xdr:colOff>
      <xdr:row>0</xdr:row>
      <xdr:rowOff>57150</xdr:rowOff>
    </xdr:from>
    <xdr:to>
      <xdr:col>3</xdr:col>
      <xdr:colOff>390525</xdr:colOff>
      <xdr:row>8</xdr:row>
      <xdr:rowOff>38100</xdr:rowOff>
    </xdr:to>
    <xdr:pic>
      <xdr:nvPicPr>
        <xdr:cNvPr id="1977447" name="Imagen 38">
          <a:extLst>
            <a:ext uri="{FF2B5EF4-FFF2-40B4-BE49-F238E27FC236}">
              <a16:creationId xmlns:a16="http://schemas.microsoft.com/office/drawing/2014/main" id="{812D3EFB-FCF6-4AB5-A3A3-A6FB0AC2DF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1733550" cy="127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523875</xdr:colOff>
      <xdr:row>0</xdr:row>
      <xdr:rowOff>128589</xdr:rowOff>
    </xdr:from>
    <xdr:to>
      <xdr:col>13</xdr:col>
      <xdr:colOff>323850</xdr:colOff>
      <xdr:row>5</xdr:row>
      <xdr:rowOff>157162</xdr:rowOff>
    </xdr:to>
    <xdr:sp macro="" textlink="">
      <xdr:nvSpPr>
        <xdr:cNvPr id="26627" name="Text Box 3">
          <a:extLst>
            <a:ext uri="{FF2B5EF4-FFF2-40B4-BE49-F238E27FC236}">
              <a16:creationId xmlns:a16="http://schemas.microsoft.com/office/drawing/2014/main" id="{B544FF62-5853-4AC9-95B7-3AF2980A3D64}"/>
            </a:ext>
          </a:extLst>
        </xdr:cNvPr>
        <xdr:cNvSpPr txBox="1">
          <a:spLocks noChangeArrowheads="1"/>
        </xdr:cNvSpPr>
      </xdr:nvSpPr>
      <xdr:spPr bwMode="auto">
        <a:xfrm>
          <a:off x="4250531" y="128589"/>
          <a:ext cx="6479382" cy="862011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lnSpc>
              <a:spcPts val="1100"/>
            </a:lnSpc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lnSpc>
              <a:spcPts val="1000"/>
            </a:lnSpc>
            <a:defRPr sz="1000"/>
          </a:pPr>
          <a:r>
            <a:rPr lang="es-AR" sz="1200" b="1" i="1" u="none" strike="noStrike" baseline="0">
              <a:solidFill>
                <a:srgbClr val="000080"/>
              </a:solidFill>
              <a:latin typeface="Verdana"/>
            </a:rPr>
            <a:t>DATOS MOVIMIENTO SECTOR PESQUERO AÑO 2021</a:t>
          </a:r>
        </a:p>
        <a:p>
          <a:pPr algn="ctr" rtl="0">
            <a:lnSpc>
              <a:spcPts val="1000"/>
            </a:lnSpc>
            <a:defRPr sz="1000"/>
          </a:pPr>
          <a:endParaRPr lang="es-AR" sz="1200" b="1" i="1" u="none" strike="noStrike" baseline="0">
            <a:solidFill>
              <a:srgbClr val="000080"/>
            </a:solidFill>
            <a:latin typeface="Verdana"/>
          </a:endParaRPr>
        </a:p>
        <a:p>
          <a:pPr algn="ctr" rtl="0">
            <a:lnSpc>
              <a:spcPts val="900"/>
            </a:lnSpc>
            <a:defRPr sz="1000"/>
          </a:pPr>
          <a:r>
            <a:rPr lang="es-AR" sz="1200" b="1" i="1" u="none" strike="noStrike" baseline="0">
              <a:solidFill>
                <a:srgbClr val="000080"/>
              </a:solidFill>
              <a:latin typeface="Verdana"/>
            </a:rPr>
            <a:t>COMPARATIVO TEMPORADAS ANTERIORES</a:t>
          </a:r>
          <a:endParaRPr lang="es-AR" sz="1000" b="1" i="1" u="none" strike="noStrike" baseline="0">
            <a:solidFill>
              <a:srgbClr val="000080"/>
            </a:solidFill>
            <a:latin typeface="Verdana"/>
          </a:endParaRPr>
        </a:p>
        <a:p>
          <a:pPr algn="ctr" rtl="0">
            <a:lnSpc>
              <a:spcPts val="1100"/>
            </a:lnSpc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lnSpc>
              <a:spcPts val="1000"/>
            </a:lnSpc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lnSpc>
              <a:spcPts val="1000"/>
            </a:lnSpc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5</xdr:col>
      <xdr:colOff>19050</xdr:colOff>
      <xdr:row>29</xdr:row>
      <xdr:rowOff>104775</xdr:rowOff>
    </xdr:from>
    <xdr:to>
      <xdr:col>15</xdr:col>
      <xdr:colOff>285750</xdr:colOff>
      <xdr:row>51</xdr:row>
      <xdr:rowOff>152400</xdr:rowOff>
    </xdr:to>
    <xdr:graphicFrame macro="">
      <xdr:nvGraphicFramePr>
        <xdr:cNvPr id="1973271" name="Chart 11">
          <a:extLst>
            <a:ext uri="{FF2B5EF4-FFF2-40B4-BE49-F238E27FC236}">
              <a16:creationId xmlns:a16="http://schemas.microsoft.com/office/drawing/2014/main" id="{C9D3E748-2415-4F26-870F-C485A0F5C2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3</xdr:col>
      <xdr:colOff>914400</xdr:colOff>
      <xdr:row>126</xdr:row>
      <xdr:rowOff>76200</xdr:rowOff>
    </xdr:from>
    <xdr:to>
      <xdr:col>10</xdr:col>
      <xdr:colOff>781050</xdr:colOff>
      <xdr:row>151</xdr:row>
      <xdr:rowOff>57150</xdr:rowOff>
    </xdr:to>
    <xdr:graphicFrame macro="">
      <xdr:nvGraphicFramePr>
        <xdr:cNvPr id="1973272" name="Chart 13">
          <a:extLst>
            <a:ext uri="{FF2B5EF4-FFF2-40B4-BE49-F238E27FC236}">
              <a16:creationId xmlns:a16="http://schemas.microsoft.com/office/drawing/2014/main" id="{DD5807C9-89AC-49B6-A988-C586C6086D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114300</xdr:colOff>
      <xdr:row>152</xdr:row>
      <xdr:rowOff>85725</xdr:rowOff>
    </xdr:from>
    <xdr:to>
      <xdr:col>17</xdr:col>
      <xdr:colOff>314325</xdr:colOff>
      <xdr:row>168</xdr:row>
      <xdr:rowOff>57150</xdr:rowOff>
    </xdr:to>
    <xdr:graphicFrame macro="">
      <xdr:nvGraphicFramePr>
        <xdr:cNvPr id="1973273" name="Chart 15">
          <a:extLst>
            <a:ext uri="{FF2B5EF4-FFF2-40B4-BE49-F238E27FC236}">
              <a16:creationId xmlns:a16="http://schemas.microsoft.com/office/drawing/2014/main" id="{E6EDCFEF-F2A5-4BC2-953F-91D9BD2D45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190500</xdr:colOff>
      <xdr:row>100</xdr:row>
      <xdr:rowOff>116681</xdr:rowOff>
    </xdr:from>
    <xdr:to>
      <xdr:col>12</xdr:col>
      <xdr:colOff>704850</xdr:colOff>
      <xdr:row>103</xdr:row>
      <xdr:rowOff>130969</xdr:rowOff>
    </xdr:to>
    <xdr:sp macro="" textlink="">
      <xdr:nvSpPr>
        <xdr:cNvPr id="26643" name="Text Box 19">
          <a:extLst>
            <a:ext uri="{FF2B5EF4-FFF2-40B4-BE49-F238E27FC236}">
              <a16:creationId xmlns:a16="http://schemas.microsoft.com/office/drawing/2014/main" id="{5C8480E1-304F-4316-9375-979405CDC56B}"/>
            </a:ext>
          </a:extLst>
        </xdr:cNvPr>
        <xdr:cNvSpPr txBox="1">
          <a:spLocks noChangeArrowheads="1"/>
        </xdr:cNvSpPr>
      </xdr:nvSpPr>
      <xdr:spPr bwMode="auto">
        <a:xfrm>
          <a:off x="4629150" y="16604456"/>
          <a:ext cx="5724525" cy="500063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5</xdr:col>
      <xdr:colOff>333375</xdr:colOff>
      <xdr:row>176</xdr:row>
      <xdr:rowOff>47625</xdr:rowOff>
    </xdr:from>
    <xdr:to>
      <xdr:col>11</xdr:col>
      <xdr:colOff>352425</xdr:colOff>
      <xdr:row>181</xdr:row>
      <xdr:rowOff>47625</xdr:rowOff>
    </xdr:to>
    <xdr:sp macro="" textlink="">
      <xdr:nvSpPr>
        <xdr:cNvPr id="26655" name="Text Box 31">
          <a:extLst>
            <a:ext uri="{FF2B5EF4-FFF2-40B4-BE49-F238E27FC236}">
              <a16:creationId xmlns:a16="http://schemas.microsoft.com/office/drawing/2014/main" id="{BD16D52A-53CF-4B51-88F6-AD281F4D8081}"/>
            </a:ext>
          </a:extLst>
        </xdr:cNvPr>
        <xdr:cNvSpPr txBox="1">
          <a:spLocks noChangeArrowheads="1"/>
        </xdr:cNvSpPr>
      </xdr:nvSpPr>
      <xdr:spPr bwMode="auto">
        <a:xfrm>
          <a:off x="4067175" y="28870275"/>
          <a:ext cx="5143500" cy="8096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Verdana"/>
            </a:rPr>
            <a:t>Form. 2013 - 22/11/00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info@patagonia-norte.com.ar      </a:t>
          </a:r>
        </a:p>
        <a:p>
          <a:pPr algn="ctr" rtl="0">
            <a:defRPr sz="1000"/>
          </a:pPr>
          <a:endParaRPr lang="es-AR" sz="800" b="0" i="0" u="none" strike="noStrike" baseline="0">
            <a:solidFill>
              <a:srgbClr val="000080"/>
            </a:solidFill>
            <a:latin typeface="Verdana"/>
          </a:endParaRPr>
        </a:p>
        <a:p>
          <a:pPr algn="ctr" rtl="0">
            <a:lnSpc>
              <a:spcPts val="1100"/>
            </a:lnSpc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0</xdr:col>
      <xdr:colOff>66675</xdr:colOff>
      <xdr:row>0</xdr:row>
      <xdr:rowOff>66675</xdr:rowOff>
    </xdr:from>
    <xdr:to>
      <xdr:col>2</xdr:col>
      <xdr:colOff>800100</xdr:colOff>
      <xdr:row>6</xdr:row>
      <xdr:rowOff>114300</xdr:rowOff>
    </xdr:to>
    <xdr:pic>
      <xdr:nvPicPr>
        <xdr:cNvPr id="1973276" name="Imagen 38">
          <a:extLst>
            <a:ext uri="{FF2B5EF4-FFF2-40B4-BE49-F238E27FC236}">
              <a16:creationId xmlns:a16="http://schemas.microsoft.com/office/drawing/2014/main" id="{C84B21B1-D433-44D4-AD90-DAFCFACCAC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1733550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0.2611</cdr:x>
      <cdr:y>0.00812</cdr:y>
    </cdr:from>
    <cdr:to>
      <cdr:x>0.71791</cdr:x>
      <cdr:y>0.05984</cdr:y>
    </cdr:to>
    <cdr:sp macro="" textlink="">
      <cdr:nvSpPr>
        <cdr:cNvPr id="80897" name="Text Box 20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33331" y="29313"/>
          <a:ext cx="3907288" cy="1867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27432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AR" sz="1050" b="1" i="0" u="none" strike="noStrike" baseline="0">
              <a:solidFill>
                <a:srgbClr val="666699"/>
              </a:solidFill>
              <a:latin typeface="Verdana"/>
            </a:rPr>
            <a:t>Movimiento Sector Pesquero - 1998 a 2021 en Tn.</a:t>
          </a:r>
        </a:p>
      </cdr:txBody>
    </cdr: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0.32054</cdr:x>
      <cdr:y>0.02918</cdr:y>
    </cdr:from>
    <cdr:to>
      <cdr:x>0.68264</cdr:x>
      <cdr:y>0.08036</cdr:y>
    </cdr:to>
    <cdr:sp macro="" textlink="">
      <cdr:nvSpPr>
        <cdr:cNvPr id="81921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63171" y="117568"/>
          <a:ext cx="2217723" cy="2062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27432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AR" sz="1175" b="1" i="0" u="none" strike="noStrike" baseline="0">
              <a:solidFill>
                <a:srgbClr val="008080"/>
              </a:solidFill>
              <a:latin typeface="Verdana"/>
            </a:rPr>
            <a:t>MOVIMIENTO 2020/ KGS.</a:t>
          </a:r>
        </a:p>
      </cdr:txBody>
    </cdr:sp>
  </cdr:relSizeAnchor>
  <cdr:relSizeAnchor xmlns:cdr="http://schemas.openxmlformats.org/drawingml/2006/chartDrawing">
    <cdr:from>
      <cdr:x>0.00901</cdr:x>
      <cdr:y>0.26935</cdr:y>
    </cdr:from>
    <cdr:to>
      <cdr:x>0.20344</cdr:x>
      <cdr:y>0.37155</cdr:y>
    </cdr:to>
    <cdr:sp macro="" textlink="">
      <cdr:nvSpPr>
        <cdr:cNvPr id="81922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890272"/>
          <a:ext cx="1018758" cy="3428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s-AR" sz="800" b="0" i="0" u="none" strike="noStrike" baseline="0">
              <a:solidFill>
                <a:srgbClr val="000000"/>
              </a:solidFill>
              <a:latin typeface="Verdana"/>
            </a:rPr>
            <a:t>TRASBORDO A MERCANTE</a:t>
          </a:r>
        </a:p>
      </cdr:txBody>
    </cdr:sp>
  </cdr:relSizeAnchor>
  <cdr:relSizeAnchor xmlns:cdr="http://schemas.openxmlformats.org/drawingml/2006/chartDrawing">
    <cdr:from>
      <cdr:x>0.00901</cdr:x>
      <cdr:y>0.43809</cdr:y>
    </cdr:from>
    <cdr:to>
      <cdr:x>0.20074</cdr:x>
      <cdr:y>0.54055</cdr:y>
    </cdr:to>
    <cdr:sp macro="" textlink="">
      <cdr:nvSpPr>
        <cdr:cNvPr id="81923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454480"/>
          <a:ext cx="1009674" cy="3428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s-AR" sz="800" b="0" i="0" u="none" strike="noStrike" baseline="0">
              <a:solidFill>
                <a:srgbClr val="000000"/>
              </a:solidFill>
              <a:latin typeface="Verdana"/>
            </a:rPr>
            <a:t>CALAMAR PLANTA PROC.</a:t>
          </a:r>
        </a:p>
      </cdr:txBody>
    </cdr:sp>
  </cdr:relSizeAnchor>
  <cdr:relSizeAnchor xmlns:cdr="http://schemas.openxmlformats.org/drawingml/2006/chartDrawing">
    <cdr:from>
      <cdr:x>0.00901</cdr:x>
      <cdr:y>0.63695</cdr:y>
    </cdr:from>
    <cdr:to>
      <cdr:x>0.21793</cdr:x>
      <cdr:y>0.74039</cdr:y>
    </cdr:to>
    <cdr:sp macro="" textlink="">
      <cdr:nvSpPr>
        <cdr:cNvPr id="81924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114467"/>
          <a:ext cx="1104412" cy="3428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s-AR" sz="800" b="0" i="0" u="none" strike="noStrike" baseline="0">
              <a:solidFill>
                <a:srgbClr val="000000"/>
              </a:solidFill>
              <a:latin typeface="Verdana"/>
            </a:rPr>
            <a:t>PLANTA PROCESADORA</a:t>
          </a:r>
        </a:p>
      </cdr:txBody>
    </cdr:sp>
  </cdr:relSizeAnchor>
  <cdr:relSizeAnchor xmlns:cdr="http://schemas.openxmlformats.org/drawingml/2006/chartDrawing">
    <cdr:from>
      <cdr:x>0.00901</cdr:x>
      <cdr:y>0.82658</cdr:y>
    </cdr:from>
    <cdr:to>
      <cdr:x>0.2</cdr:x>
      <cdr:y>0.89481</cdr:y>
    </cdr:to>
    <cdr:sp macro="" textlink="">
      <cdr:nvSpPr>
        <cdr:cNvPr id="81925" name="Text Box 10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47089"/>
          <a:ext cx="1009674" cy="2285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s-AR" sz="800" b="0" i="0" u="none" strike="noStrike" baseline="0">
              <a:solidFill>
                <a:srgbClr val="000000"/>
              </a:solidFill>
              <a:latin typeface="Verdana"/>
            </a:rPr>
            <a:t>URUGUAY</a:t>
          </a: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47625</xdr:rowOff>
    </xdr:from>
    <xdr:to>
      <xdr:col>3</xdr:col>
      <xdr:colOff>381000</xdr:colOff>
      <xdr:row>8</xdr:row>
      <xdr:rowOff>28575</xdr:rowOff>
    </xdr:to>
    <xdr:pic>
      <xdr:nvPicPr>
        <xdr:cNvPr id="1589485" name="Imagen 4">
          <a:extLst>
            <a:ext uri="{FF2B5EF4-FFF2-40B4-BE49-F238E27FC236}">
              <a16:creationId xmlns:a16="http://schemas.microsoft.com/office/drawing/2014/main" id="{531E122F-EE90-4E37-AB79-5FE0635203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47625"/>
          <a:ext cx="1733550" cy="127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447675</xdr:colOff>
      <xdr:row>70</xdr:row>
      <xdr:rowOff>152400</xdr:rowOff>
    </xdr:from>
    <xdr:to>
      <xdr:col>8</xdr:col>
      <xdr:colOff>228600</xdr:colOff>
      <xdr:row>75</xdr:row>
      <xdr:rowOff>114300</xdr:rowOff>
    </xdr:to>
    <xdr:sp macro="" textlink="">
      <xdr:nvSpPr>
        <xdr:cNvPr id="3075" name="Text Box 3">
          <a:extLst>
            <a:ext uri="{FF2B5EF4-FFF2-40B4-BE49-F238E27FC236}">
              <a16:creationId xmlns:a16="http://schemas.microsoft.com/office/drawing/2014/main" id="{C16F9E57-874B-4D36-B533-F668E916F8EB}"/>
            </a:ext>
          </a:extLst>
        </xdr:cNvPr>
        <xdr:cNvSpPr txBox="1">
          <a:spLocks noChangeArrowheads="1"/>
        </xdr:cNvSpPr>
      </xdr:nvSpPr>
      <xdr:spPr bwMode="auto">
        <a:xfrm>
          <a:off x="1019175" y="9867900"/>
          <a:ext cx="4686300" cy="7715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lnSpc>
              <a:spcPts val="900"/>
            </a:lnSpc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Verdana"/>
            </a:rPr>
            <a:t>Form. 2013 - 22/11/00 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lnSpc>
              <a:spcPts val="800"/>
            </a:lnSpc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</a:t>
          </a:r>
        </a:p>
        <a:p>
          <a:pPr algn="ctr" rtl="0">
            <a:lnSpc>
              <a:spcPts val="800"/>
            </a:lnSpc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info@patagonia-norte.com.ar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3318" name="Text Box 6">
          <a:extLst>
            <a:ext uri="{FF2B5EF4-FFF2-40B4-BE49-F238E27FC236}">
              <a16:creationId xmlns:a16="http://schemas.microsoft.com/office/drawing/2014/main" id="{E9F088AC-18F1-4A9F-9DC3-F0905D2D117D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3319" name="Text Box 7">
          <a:extLst>
            <a:ext uri="{FF2B5EF4-FFF2-40B4-BE49-F238E27FC236}">
              <a16:creationId xmlns:a16="http://schemas.microsoft.com/office/drawing/2014/main" id="{1CDACFB3-80E6-48CC-B0C6-21DD46E74162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2</xdr:col>
      <xdr:colOff>409575</xdr:colOff>
      <xdr:row>77</xdr:row>
      <xdr:rowOff>0</xdr:rowOff>
    </xdr:from>
    <xdr:to>
      <xdr:col>8</xdr:col>
      <xdr:colOff>190500</xdr:colOff>
      <xdr:row>81</xdr:row>
      <xdr:rowOff>123825</xdr:rowOff>
    </xdr:to>
    <xdr:sp macro="" textlink="">
      <xdr:nvSpPr>
        <xdr:cNvPr id="13324" name="Text Box 12">
          <a:extLst>
            <a:ext uri="{FF2B5EF4-FFF2-40B4-BE49-F238E27FC236}">
              <a16:creationId xmlns:a16="http://schemas.microsoft.com/office/drawing/2014/main" id="{A8E1FE36-D73E-483E-8E74-FB444030AF78}"/>
            </a:ext>
          </a:extLst>
        </xdr:cNvPr>
        <xdr:cNvSpPr txBox="1">
          <a:spLocks noChangeArrowheads="1"/>
        </xdr:cNvSpPr>
      </xdr:nvSpPr>
      <xdr:spPr bwMode="auto">
        <a:xfrm>
          <a:off x="981075" y="11820525"/>
          <a:ext cx="4686300" cy="7715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lnSpc>
              <a:spcPts val="900"/>
            </a:lnSpc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Verdana"/>
            </a:rPr>
            <a:t>Form. 2013 - 22/11/00         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info@patagonia-norte.com.ar   </a:t>
          </a:r>
          <a:r>
            <a:rPr lang="es-AR" sz="800" b="1" i="0" u="none" strike="noStrike" baseline="0">
              <a:solidFill>
                <a:srgbClr val="000000"/>
              </a:solidFill>
              <a:latin typeface="Verdana"/>
            </a:rPr>
            <a:t>   </a:t>
          </a:r>
        </a:p>
        <a:p>
          <a:pPr algn="ctr" rtl="0">
            <a:lnSpc>
              <a:spcPts val="900"/>
            </a:lnSpc>
            <a:defRPr sz="1000"/>
          </a:pPr>
          <a:endParaRPr lang="es-AR" sz="800" b="1" i="0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 editAs="oneCell">
    <xdr:from>
      <xdr:col>0</xdr:col>
      <xdr:colOff>57150</xdr:colOff>
      <xdr:row>0</xdr:row>
      <xdr:rowOff>57150</xdr:rowOff>
    </xdr:from>
    <xdr:to>
      <xdr:col>3</xdr:col>
      <xdr:colOff>390525</xdr:colOff>
      <xdr:row>8</xdr:row>
      <xdr:rowOff>38100</xdr:rowOff>
    </xdr:to>
    <xdr:pic>
      <xdr:nvPicPr>
        <xdr:cNvPr id="1741095" name="Imagen 6">
          <a:extLst>
            <a:ext uri="{FF2B5EF4-FFF2-40B4-BE49-F238E27FC236}">
              <a16:creationId xmlns:a16="http://schemas.microsoft.com/office/drawing/2014/main" id="{1E2522CF-8AB5-4454-9F8C-2583FD8713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1733550" cy="127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419100</xdr:colOff>
      <xdr:row>69</xdr:row>
      <xdr:rowOff>0</xdr:rowOff>
    </xdr:from>
    <xdr:to>
      <xdr:col>8</xdr:col>
      <xdr:colOff>95250</xdr:colOff>
      <xdr:row>73</xdr:row>
      <xdr:rowOff>123825</xdr:rowOff>
    </xdr:to>
    <xdr:sp macro="" textlink="">
      <xdr:nvSpPr>
        <xdr:cNvPr id="14343" name="Text Box 7">
          <a:extLst>
            <a:ext uri="{FF2B5EF4-FFF2-40B4-BE49-F238E27FC236}">
              <a16:creationId xmlns:a16="http://schemas.microsoft.com/office/drawing/2014/main" id="{C5B2D803-4A59-400C-B677-D6D3D6FD95A6}"/>
            </a:ext>
          </a:extLst>
        </xdr:cNvPr>
        <xdr:cNvSpPr txBox="1">
          <a:spLocks noChangeArrowheads="1"/>
        </xdr:cNvSpPr>
      </xdr:nvSpPr>
      <xdr:spPr bwMode="auto">
        <a:xfrm>
          <a:off x="990600" y="10848975"/>
          <a:ext cx="4705350" cy="7715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lnSpc>
              <a:spcPts val="900"/>
            </a:lnSpc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Verdana"/>
            </a:rPr>
            <a:t>Form. 2013 - 22/11/00  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info@patagonia-norte.com.ar      </a:t>
          </a:r>
        </a:p>
        <a:p>
          <a:pPr algn="ctr" rtl="0">
            <a:lnSpc>
              <a:spcPts val="1100"/>
            </a:lnSpc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4345" name="Text Box 9">
          <a:extLst>
            <a:ext uri="{FF2B5EF4-FFF2-40B4-BE49-F238E27FC236}">
              <a16:creationId xmlns:a16="http://schemas.microsoft.com/office/drawing/2014/main" id="{52B48A30-8883-4C32-A4FC-77CE4F51FD6E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5720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4346" name="Text Box 10">
          <a:extLst>
            <a:ext uri="{FF2B5EF4-FFF2-40B4-BE49-F238E27FC236}">
              <a16:creationId xmlns:a16="http://schemas.microsoft.com/office/drawing/2014/main" id="{EE776EF8-B8BD-45E1-AA78-D4CDA8985D52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6863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4347" name="Text Box 11">
          <a:extLst>
            <a:ext uri="{FF2B5EF4-FFF2-40B4-BE49-F238E27FC236}">
              <a16:creationId xmlns:a16="http://schemas.microsoft.com/office/drawing/2014/main" id="{4AED5420-DFD2-4F42-A088-3F7C800A6A1A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5720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4348" name="Text Box 12">
          <a:extLst>
            <a:ext uri="{FF2B5EF4-FFF2-40B4-BE49-F238E27FC236}">
              <a16:creationId xmlns:a16="http://schemas.microsoft.com/office/drawing/2014/main" id="{6A84083F-1012-4089-B8B4-DCF8DE3530ED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6863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 editAs="oneCell">
    <xdr:from>
      <xdr:col>0</xdr:col>
      <xdr:colOff>57150</xdr:colOff>
      <xdr:row>0</xdr:row>
      <xdr:rowOff>57150</xdr:rowOff>
    </xdr:from>
    <xdr:to>
      <xdr:col>3</xdr:col>
      <xdr:colOff>390525</xdr:colOff>
      <xdr:row>8</xdr:row>
      <xdr:rowOff>38100</xdr:rowOff>
    </xdr:to>
    <xdr:pic>
      <xdr:nvPicPr>
        <xdr:cNvPr id="1787234" name="Imagen 8">
          <a:extLst>
            <a:ext uri="{FF2B5EF4-FFF2-40B4-BE49-F238E27FC236}">
              <a16:creationId xmlns:a16="http://schemas.microsoft.com/office/drawing/2014/main" id="{4CE6364F-10EC-4CCF-95B5-40B15BBF2B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1733550" cy="127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5370" name="Text Box 10">
          <a:extLst>
            <a:ext uri="{FF2B5EF4-FFF2-40B4-BE49-F238E27FC236}">
              <a16:creationId xmlns:a16="http://schemas.microsoft.com/office/drawing/2014/main" id="{F1A8933E-02FA-4E05-81B3-DF588BDB6113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5371" name="Text Box 11">
          <a:extLst>
            <a:ext uri="{FF2B5EF4-FFF2-40B4-BE49-F238E27FC236}">
              <a16:creationId xmlns:a16="http://schemas.microsoft.com/office/drawing/2014/main" id="{A02F5CE3-764F-4BFB-AB39-C826C746AA84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2</xdr:col>
      <xdr:colOff>114300</xdr:colOff>
      <xdr:row>69</xdr:row>
      <xdr:rowOff>66675</xdr:rowOff>
    </xdr:from>
    <xdr:to>
      <xdr:col>7</xdr:col>
      <xdr:colOff>695325</xdr:colOff>
      <xdr:row>74</xdr:row>
      <xdr:rowOff>28575</xdr:rowOff>
    </xdr:to>
    <xdr:sp macro="" textlink="">
      <xdr:nvSpPr>
        <xdr:cNvPr id="15373" name="Text Box 13">
          <a:extLst>
            <a:ext uri="{FF2B5EF4-FFF2-40B4-BE49-F238E27FC236}">
              <a16:creationId xmlns:a16="http://schemas.microsoft.com/office/drawing/2014/main" id="{D88FDB96-3CA6-41F4-8D97-E28D6A47DD74}"/>
            </a:ext>
          </a:extLst>
        </xdr:cNvPr>
        <xdr:cNvSpPr txBox="1">
          <a:spLocks noChangeArrowheads="1"/>
        </xdr:cNvSpPr>
      </xdr:nvSpPr>
      <xdr:spPr bwMode="auto">
        <a:xfrm>
          <a:off x="685800" y="11239500"/>
          <a:ext cx="4724400" cy="7715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Verdana"/>
            </a:rPr>
            <a:t>Form. 2013 - 22/11/00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info@patagonia-norte.com.ar      </a:t>
          </a:r>
        </a:p>
        <a:p>
          <a:pPr algn="ctr" rtl="0">
            <a:lnSpc>
              <a:spcPts val="900"/>
            </a:lnSpc>
            <a:defRPr sz="1000"/>
          </a:pPr>
          <a:endParaRPr lang="es-AR" sz="800" b="0" i="0" u="none" strike="noStrike" baseline="0">
            <a:solidFill>
              <a:srgbClr val="000080"/>
            </a:solidFill>
            <a:latin typeface="Verdana"/>
          </a:endParaRPr>
        </a:p>
        <a:p>
          <a:pPr algn="ctr" rtl="0">
            <a:lnSpc>
              <a:spcPts val="1100"/>
            </a:lnSpc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5374" name="Text Box 14">
          <a:extLst>
            <a:ext uri="{FF2B5EF4-FFF2-40B4-BE49-F238E27FC236}">
              <a16:creationId xmlns:a16="http://schemas.microsoft.com/office/drawing/2014/main" id="{CB8E3A5B-4545-4520-90EE-21E8D63F86F7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5375" name="Text Box 15">
          <a:extLst>
            <a:ext uri="{FF2B5EF4-FFF2-40B4-BE49-F238E27FC236}">
              <a16:creationId xmlns:a16="http://schemas.microsoft.com/office/drawing/2014/main" id="{E2BE814E-5E2E-4AEE-8959-D28377440732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5376" name="Text Box 16">
          <a:extLst>
            <a:ext uri="{FF2B5EF4-FFF2-40B4-BE49-F238E27FC236}">
              <a16:creationId xmlns:a16="http://schemas.microsoft.com/office/drawing/2014/main" id="{793C1165-635B-4875-B91C-754FFC6A4542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5377" name="Text Box 17">
          <a:extLst>
            <a:ext uri="{FF2B5EF4-FFF2-40B4-BE49-F238E27FC236}">
              <a16:creationId xmlns:a16="http://schemas.microsoft.com/office/drawing/2014/main" id="{2007BF32-1837-4E08-8B61-A6A141AAB189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 editAs="oneCell">
    <xdr:from>
      <xdr:col>0</xdr:col>
      <xdr:colOff>57150</xdr:colOff>
      <xdr:row>0</xdr:row>
      <xdr:rowOff>57150</xdr:rowOff>
    </xdr:from>
    <xdr:to>
      <xdr:col>3</xdr:col>
      <xdr:colOff>390525</xdr:colOff>
      <xdr:row>8</xdr:row>
      <xdr:rowOff>38100</xdr:rowOff>
    </xdr:to>
    <xdr:pic>
      <xdr:nvPicPr>
        <xdr:cNvPr id="1927307" name="Imagen 10">
          <a:extLst>
            <a:ext uri="{FF2B5EF4-FFF2-40B4-BE49-F238E27FC236}">
              <a16:creationId xmlns:a16="http://schemas.microsoft.com/office/drawing/2014/main" id="{4F02978B-ECD1-40AC-BD6C-4330A2EB73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1733550" cy="127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6394" name="Text Box 10">
          <a:extLst>
            <a:ext uri="{FF2B5EF4-FFF2-40B4-BE49-F238E27FC236}">
              <a16:creationId xmlns:a16="http://schemas.microsoft.com/office/drawing/2014/main" id="{FA014022-D133-4F8D-A3E3-A1D72D79981B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6395" name="Text Box 11">
          <a:extLst>
            <a:ext uri="{FF2B5EF4-FFF2-40B4-BE49-F238E27FC236}">
              <a16:creationId xmlns:a16="http://schemas.microsoft.com/office/drawing/2014/main" id="{209F86F5-68FB-4AB0-94A9-8DCDE27E0453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629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6397" name="Text Box 13">
          <a:extLst>
            <a:ext uri="{FF2B5EF4-FFF2-40B4-BE49-F238E27FC236}">
              <a16:creationId xmlns:a16="http://schemas.microsoft.com/office/drawing/2014/main" id="{0DEDDA0D-8128-41EA-B563-6184ECEE4321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6398" name="Text Box 14">
          <a:extLst>
            <a:ext uri="{FF2B5EF4-FFF2-40B4-BE49-F238E27FC236}">
              <a16:creationId xmlns:a16="http://schemas.microsoft.com/office/drawing/2014/main" id="{6B811249-A445-4CC2-A390-55692FA4E086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629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6400" name="Text Box 16">
          <a:extLst>
            <a:ext uri="{FF2B5EF4-FFF2-40B4-BE49-F238E27FC236}">
              <a16:creationId xmlns:a16="http://schemas.microsoft.com/office/drawing/2014/main" id="{2CB44F1D-DCEA-48BD-AADF-26F5FD856E4E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6401" name="Text Box 17">
          <a:extLst>
            <a:ext uri="{FF2B5EF4-FFF2-40B4-BE49-F238E27FC236}">
              <a16:creationId xmlns:a16="http://schemas.microsoft.com/office/drawing/2014/main" id="{2857B385-11B5-4D55-87FD-698C9B1DE73C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629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6402" name="Text Box 18">
          <a:extLst>
            <a:ext uri="{FF2B5EF4-FFF2-40B4-BE49-F238E27FC236}">
              <a16:creationId xmlns:a16="http://schemas.microsoft.com/office/drawing/2014/main" id="{37E185D3-CDB6-451F-8FFE-821F4DEF9E28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6403" name="Text Box 19">
          <a:extLst>
            <a:ext uri="{FF2B5EF4-FFF2-40B4-BE49-F238E27FC236}">
              <a16:creationId xmlns:a16="http://schemas.microsoft.com/office/drawing/2014/main" id="{EBF06697-BB58-43B8-9197-F198796D9363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629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2</xdr:col>
      <xdr:colOff>600075</xdr:colOff>
      <xdr:row>72</xdr:row>
      <xdr:rowOff>0</xdr:rowOff>
    </xdr:from>
    <xdr:to>
      <xdr:col>8</xdr:col>
      <xdr:colOff>352425</xdr:colOff>
      <xdr:row>76</xdr:row>
      <xdr:rowOff>123825</xdr:rowOff>
    </xdr:to>
    <xdr:sp macro="" textlink="">
      <xdr:nvSpPr>
        <xdr:cNvPr id="16405" name="Text Box 21">
          <a:extLst>
            <a:ext uri="{FF2B5EF4-FFF2-40B4-BE49-F238E27FC236}">
              <a16:creationId xmlns:a16="http://schemas.microsoft.com/office/drawing/2014/main" id="{9BD5C60F-EB1D-446B-8369-F85008C5664E}"/>
            </a:ext>
          </a:extLst>
        </xdr:cNvPr>
        <xdr:cNvSpPr txBox="1">
          <a:spLocks noChangeArrowheads="1"/>
        </xdr:cNvSpPr>
      </xdr:nvSpPr>
      <xdr:spPr bwMode="auto">
        <a:xfrm>
          <a:off x="1171575" y="11658600"/>
          <a:ext cx="4724400" cy="7715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Verdana"/>
            </a:rPr>
            <a:t>Form. 2013 - 22/11/00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info@patagonia-norte.com.ar      </a:t>
          </a:r>
        </a:p>
        <a:p>
          <a:pPr algn="ctr" rtl="0">
            <a:lnSpc>
              <a:spcPts val="900"/>
            </a:lnSpc>
            <a:defRPr sz="1000"/>
          </a:pPr>
          <a:endParaRPr lang="es-AR" sz="800" b="0" i="0" u="none" strike="noStrike" baseline="0">
            <a:solidFill>
              <a:srgbClr val="000080"/>
            </a:solidFill>
            <a:latin typeface="Verdana"/>
          </a:endParaRPr>
        </a:p>
        <a:p>
          <a:pPr algn="ctr" rtl="0">
            <a:lnSpc>
              <a:spcPts val="1100"/>
            </a:lnSpc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0</xdr:col>
      <xdr:colOff>57150</xdr:colOff>
      <xdr:row>0</xdr:row>
      <xdr:rowOff>57150</xdr:rowOff>
    </xdr:from>
    <xdr:to>
      <xdr:col>3</xdr:col>
      <xdr:colOff>390525</xdr:colOff>
      <xdr:row>8</xdr:row>
      <xdr:rowOff>38100</xdr:rowOff>
    </xdr:to>
    <xdr:pic>
      <xdr:nvPicPr>
        <xdr:cNvPr id="1673133" name="Imagen 12">
          <a:extLst>
            <a:ext uri="{FF2B5EF4-FFF2-40B4-BE49-F238E27FC236}">
              <a16:creationId xmlns:a16="http://schemas.microsoft.com/office/drawing/2014/main" id="{154CD9E0-8E1A-477A-9E9C-9333729519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1733550" cy="127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7415" name="Text Box 7">
          <a:extLst>
            <a:ext uri="{FF2B5EF4-FFF2-40B4-BE49-F238E27FC236}">
              <a16:creationId xmlns:a16="http://schemas.microsoft.com/office/drawing/2014/main" id="{51160DC1-5347-4456-87E0-D6B918452010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7416" name="Text Box 8">
          <a:extLst>
            <a:ext uri="{FF2B5EF4-FFF2-40B4-BE49-F238E27FC236}">
              <a16:creationId xmlns:a16="http://schemas.microsoft.com/office/drawing/2014/main" id="{CD80BE85-3524-40F1-B04B-576C544F65BB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7419" name="Text Box 11">
          <a:extLst>
            <a:ext uri="{FF2B5EF4-FFF2-40B4-BE49-F238E27FC236}">
              <a16:creationId xmlns:a16="http://schemas.microsoft.com/office/drawing/2014/main" id="{93DE46A4-B7C1-4C1F-B2A7-7F25E01B6051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7420" name="Text Box 12">
          <a:extLst>
            <a:ext uri="{FF2B5EF4-FFF2-40B4-BE49-F238E27FC236}">
              <a16:creationId xmlns:a16="http://schemas.microsoft.com/office/drawing/2014/main" id="{115FC4E9-F8F1-47D0-8741-57EF7AE5430F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7421" name="Text Box 13">
          <a:extLst>
            <a:ext uri="{FF2B5EF4-FFF2-40B4-BE49-F238E27FC236}">
              <a16:creationId xmlns:a16="http://schemas.microsoft.com/office/drawing/2014/main" id="{10561A73-E200-40B4-B363-B6685012649D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7422" name="Text Box 14">
          <a:extLst>
            <a:ext uri="{FF2B5EF4-FFF2-40B4-BE49-F238E27FC236}">
              <a16:creationId xmlns:a16="http://schemas.microsoft.com/office/drawing/2014/main" id="{86867E8A-F95D-4412-8F3D-C6A0A6D596AB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7423" name="Text Box 15">
          <a:extLst>
            <a:ext uri="{FF2B5EF4-FFF2-40B4-BE49-F238E27FC236}">
              <a16:creationId xmlns:a16="http://schemas.microsoft.com/office/drawing/2014/main" id="{F5691245-4654-4390-9C9C-ADD506424374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7424" name="Text Box 16">
          <a:extLst>
            <a:ext uri="{FF2B5EF4-FFF2-40B4-BE49-F238E27FC236}">
              <a16:creationId xmlns:a16="http://schemas.microsoft.com/office/drawing/2014/main" id="{9A2E983A-24C6-4FC6-9EDD-FAAD7798C7D9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7425" name="Text Box 17">
          <a:extLst>
            <a:ext uri="{FF2B5EF4-FFF2-40B4-BE49-F238E27FC236}">
              <a16:creationId xmlns:a16="http://schemas.microsoft.com/office/drawing/2014/main" id="{D7A50633-6238-4693-8A99-C3E7DC512991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7426" name="Text Box 18">
          <a:extLst>
            <a:ext uri="{FF2B5EF4-FFF2-40B4-BE49-F238E27FC236}">
              <a16:creationId xmlns:a16="http://schemas.microsoft.com/office/drawing/2014/main" id="{25D6A79D-5EBD-4155-A3D4-30CB5343635C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2</xdr:col>
      <xdr:colOff>381000</xdr:colOff>
      <xdr:row>66</xdr:row>
      <xdr:rowOff>85725</xdr:rowOff>
    </xdr:from>
    <xdr:to>
      <xdr:col>8</xdr:col>
      <xdr:colOff>200025</xdr:colOff>
      <xdr:row>71</xdr:row>
      <xdr:rowOff>47625</xdr:rowOff>
    </xdr:to>
    <xdr:sp macro="" textlink="">
      <xdr:nvSpPr>
        <xdr:cNvPr id="17428" name="Text Box 20">
          <a:extLst>
            <a:ext uri="{FF2B5EF4-FFF2-40B4-BE49-F238E27FC236}">
              <a16:creationId xmlns:a16="http://schemas.microsoft.com/office/drawing/2014/main" id="{F28550E4-FE02-4D2A-8BCE-9C81843CC443}"/>
            </a:ext>
          </a:extLst>
        </xdr:cNvPr>
        <xdr:cNvSpPr txBox="1">
          <a:spLocks noChangeArrowheads="1"/>
        </xdr:cNvSpPr>
      </xdr:nvSpPr>
      <xdr:spPr bwMode="auto">
        <a:xfrm>
          <a:off x="952500" y="10772775"/>
          <a:ext cx="4724400" cy="7715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Verdana"/>
            </a:rPr>
            <a:t>Form. 2013 - 22/11/00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info@patagonia-norte.com.ar      </a:t>
          </a:r>
        </a:p>
        <a:p>
          <a:pPr algn="ctr" rtl="0">
            <a:lnSpc>
              <a:spcPts val="900"/>
            </a:lnSpc>
            <a:defRPr sz="1000"/>
          </a:pPr>
          <a:endParaRPr lang="es-AR" sz="800" b="0" i="0" u="none" strike="noStrike" baseline="0">
            <a:solidFill>
              <a:srgbClr val="000080"/>
            </a:solidFill>
            <a:latin typeface="Verdana"/>
          </a:endParaRPr>
        </a:p>
        <a:p>
          <a:pPr algn="ctr" rtl="0">
            <a:lnSpc>
              <a:spcPts val="1100"/>
            </a:lnSpc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0</xdr:col>
      <xdr:colOff>57150</xdr:colOff>
      <xdr:row>0</xdr:row>
      <xdr:rowOff>57150</xdr:rowOff>
    </xdr:from>
    <xdr:to>
      <xdr:col>3</xdr:col>
      <xdr:colOff>390525</xdr:colOff>
      <xdr:row>8</xdr:row>
      <xdr:rowOff>38100</xdr:rowOff>
    </xdr:to>
    <xdr:pic>
      <xdr:nvPicPr>
        <xdr:cNvPr id="1788623" name="Imagen 14">
          <a:extLst>
            <a:ext uri="{FF2B5EF4-FFF2-40B4-BE49-F238E27FC236}">
              <a16:creationId xmlns:a16="http://schemas.microsoft.com/office/drawing/2014/main" id="{28ECCFE7-221D-4522-9E6D-B45887AED1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1733550" cy="127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409575</xdr:colOff>
      <xdr:row>2</xdr:row>
      <xdr:rowOff>85725</xdr:rowOff>
    </xdr:from>
    <xdr:to>
      <xdr:col>8</xdr:col>
      <xdr:colOff>552450</xdr:colOff>
      <xdr:row>5</xdr:row>
      <xdr:rowOff>133350</xdr:rowOff>
    </xdr:to>
    <xdr:sp macro="" textlink="">
      <xdr:nvSpPr>
        <xdr:cNvPr id="24579" name="Text Box 3">
          <a:extLst>
            <a:ext uri="{FF2B5EF4-FFF2-40B4-BE49-F238E27FC236}">
              <a16:creationId xmlns:a16="http://schemas.microsoft.com/office/drawing/2014/main" id="{A359701F-D43C-45E0-81B8-28CEA7A8C398}"/>
            </a:ext>
          </a:extLst>
        </xdr:cNvPr>
        <xdr:cNvSpPr txBox="1">
          <a:spLocks noChangeArrowheads="1"/>
        </xdr:cNvSpPr>
      </xdr:nvSpPr>
      <xdr:spPr bwMode="auto">
        <a:xfrm>
          <a:off x="2095500" y="409575"/>
          <a:ext cx="3924300" cy="5334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</a:t>
          </a: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PRIMER SEMESTRE AÑO 2021</a:t>
          </a: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2</xdr:col>
      <xdr:colOff>9525</xdr:colOff>
      <xdr:row>60</xdr:row>
      <xdr:rowOff>9525</xdr:rowOff>
    </xdr:from>
    <xdr:to>
      <xdr:col>8</xdr:col>
      <xdr:colOff>371475</xdr:colOff>
      <xdr:row>64</xdr:row>
      <xdr:rowOff>133350</xdr:rowOff>
    </xdr:to>
    <xdr:sp macro="" textlink="">
      <xdr:nvSpPr>
        <xdr:cNvPr id="24594" name="Text Box 18">
          <a:extLst>
            <a:ext uri="{FF2B5EF4-FFF2-40B4-BE49-F238E27FC236}">
              <a16:creationId xmlns:a16="http://schemas.microsoft.com/office/drawing/2014/main" id="{7F4321EC-281C-41E6-918E-90DCBB8EF4B8}"/>
            </a:ext>
          </a:extLst>
        </xdr:cNvPr>
        <xdr:cNvSpPr txBox="1">
          <a:spLocks noChangeArrowheads="1"/>
        </xdr:cNvSpPr>
      </xdr:nvSpPr>
      <xdr:spPr bwMode="auto">
        <a:xfrm>
          <a:off x="1047750" y="9725025"/>
          <a:ext cx="4791075" cy="7715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Verdana"/>
            </a:rPr>
            <a:t>Form. 2013 - 22/11/00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info@patagonia-norte.com.ar      </a:t>
          </a:r>
        </a:p>
        <a:p>
          <a:pPr algn="ctr" rtl="0">
            <a:lnSpc>
              <a:spcPts val="900"/>
            </a:lnSpc>
            <a:defRPr sz="1000"/>
          </a:pPr>
          <a:endParaRPr lang="es-AR" sz="800" b="0" i="0" u="none" strike="noStrike" baseline="0">
            <a:solidFill>
              <a:srgbClr val="000080"/>
            </a:solidFill>
            <a:latin typeface="Verdana"/>
          </a:endParaRPr>
        </a:p>
        <a:p>
          <a:pPr algn="ctr" rtl="0">
            <a:lnSpc>
              <a:spcPts val="1100"/>
            </a:lnSpc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0</xdr:col>
      <xdr:colOff>57150</xdr:colOff>
      <xdr:row>0</xdr:row>
      <xdr:rowOff>57150</xdr:rowOff>
    </xdr:from>
    <xdr:to>
      <xdr:col>3</xdr:col>
      <xdr:colOff>104775</xdr:colOff>
      <xdr:row>8</xdr:row>
      <xdr:rowOff>38100</xdr:rowOff>
    </xdr:to>
    <xdr:pic>
      <xdr:nvPicPr>
        <xdr:cNvPr id="1295986" name="Imagen 4">
          <a:extLst>
            <a:ext uri="{FF2B5EF4-FFF2-40B4-BE49-F238E27FC236}">
              <a16:creationId xmlns:a16="http://schemas.microsoft.com/office/drawing/2014/main" id="{47303465-6A32-49FB-B153-682B34180B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1733550" cy="127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8440" name="Text Box 8">
          <a:extLst>
            <a:ext uri="{FF2B5EF4-FFF2-40B4-BE49-F238E27FC236}">
              <a16:creationId xmlns:a16="http://schemas.microsoft.com/office/drawing/2014/main" id="{F6E6E22E-C35E-4C8B-94F2-4032E642399A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8441" name="Text Box 9">
          <a:extLst>
            <a:ext uri="{FF2B5EF4-FFF2-40B4-BE49-F238E27FC236}">
              <a16:creationId xmlns:a16="http://schemas.microsoft.com/office/drawing/2014/main" id="{B3091F10-14A6-4640-A995-380000F8AFD8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8445" name="Text Box 13">
          <a:extLst>
            <a:ext uri="{FF2B5EF4-FFF2-40B4-BE49-F238E27FC236}">
              <a16:creationId xmlns:a16="http://schemas.microsoft.com/office/drawing/2014/main" id="{F52AA50E-7468-4EA4-A5B7-40A0FAE1C5BD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8446" name="Text Box 14">
          <a:extLst>
            <a:ext uri="{FF2B5EF4-FFF2-40B4-BE49-F238E27FC236}">
              <a16:creationId xmlns:a16="http://schemas.microsoft.com/office/drawing/2014/main" id="{91671031-9264-4B7D-896A-8F4F8AEEF248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8447" name="Text Box 15">
          <a:extLst>
            <a:ext uri="{FF2B5EF4-FFF2-40B4-BE49-F238E27FC236}">
              <a16:creationId xmlns:a16="http://schemas.microsoft.com/office/drawing/2014/main" id="{99F97F00-D021-45DA-8425-BAC10D1F114D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8448" name="Text Box 16">
          <a:extLst>
            <a:ext uri="{FF2B5EF4-FFF2-40B4-BE49-F238E27FC236}">
              <a16:creationId xmlns:a16="http://schemas.microsoft.com/office/drawing/2014/main" id="{D5D83973-9DE3-470C-9212-56EAC89F0506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8449" name="Text Box 17">
          <a:extLst>
            <a:ext uri="{FF2B5EF4-FFF2-40B4-BE49-F238E27FC236}">
              <a16:creationId xmlns:a16="http://schemas.microsoft.com/office/drawing/2014/main" id="{D9626ECE-D8A0-4F01-B8DB-2787ED24E96E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8450" name="Text Box 18">
          <a:extLst>
            <a:ext uri="{FF2B5EF4-FFF2-40B4-BE49-F238E27FC236}">
              <a16:creationId xmlns:a16="http://schemas.microsoft.com/office/drawing/2014/main" id="{5447F5E8-D72C-47AE-A5F8-7A63F7095A84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8451" name="Text Box 19">
          <a:extLst>
            <a:ext uri="{FF2B5EF4-FFF2-40B4-BE49-F238E27FC236}">
              <a16:creationId xmlns:a16="http://schemas.microsoft.com/office/drawing/2014/main" id="{ECB09AAD-ADF7-4B38-8130-D83F1D0D2F6B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8452" name="Text Box 20">
          <a:extLst>
            <a:ext uri="{FF2B5EF4-FFF2-40B4-BE49-F238E27FC236}">
              <a16:creationId xmlns:a16="http://schemas.microsoft.com/office/drawing/2014/main" id="{8B615B1E-A100-4FE6-B819-276C513AD15B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8453" name="Text Box 21">
          <a:extLst>
            <a:ext uri="{FF2B5EF4-FFF2-40B4-BE49-F238E27FC236}">
              <a16:creationId xmlns:a16="http://schemas.microsoft.com/office/drawing/2014/main" id="{6CF882B4-A816-433E-9177-5607E105B83D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8454" name="Text Box 22">
          <a:extLst>
            <a:ext uri="{FF2B5EF4-FFF2-40B4-BE49-F238E27FC236}">
              <a16:creationId xmlns:a16="http://schemas.microsoft.com/office/drawing/2014/main" id="{9190F846-F073-49E4-A0D9-1442CE81DA3C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2</xdr:col>
      <xdr:colOff>485775</xdr:colOff>
      <xdr:row>68</xdr:row>
      <xdr:rowOff>9525</xdr:rowOff>
    </xdr:from>
    <xdr:to>
      <xdr:col>8</xdr:col>
      <xdr:colOff>304800</xdr:colOff>
      <xdr:row>72</xdr:row>
      <xdr:rowOff>133350</xdr:rowOff>
    </xdr:to>
    <xdr:sp macro="" textlink="">
      <xdr:nvSpPr>
        <xdr:cNvPr id="18455" name="Text Box 23">
          <a:extLst>
            <a:ext uri="{FF2B5EF4-FFF2-40B4-BE49-F238E27FC236}">
              <a16:creationId xmlns:a16="http://schemas.microsoft.com/office/drawing/2014/main" id="{F288E7E7-C28E-473E-B179-F17798FBEB16}"/>
            </a:ext>
          </a:extLst>
        </xdr:cNvPr>
        <xdr:cNvSpPr txBox="1">
          <a:spLocks noChangeArrowheads="1"/>
        </xdr:cNvSpPr>
      </xdr:nvSpPr>
      <xdr:spPr bwMode="auto">
        <a:xfrm>
          <a:off x="1057275" y="11020425"/>
          <a:ext cx="4724400" cy="7715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Verdana"/>
            </a:rPr>
            <a:t>Form. 2013 - 22/11/00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info@patagonia-norte.com.ar      </a:t>
          </a:r>
        </a:p>
        <a:p>
          <a:pPr algn="ctr" rtl="0">
            <a:lnSpc>
              <a:spcPts val="900"/>
            </a:lnSpc>
            <a:defRPr sz="1000"/>
          </a:pPr>
          <a:endParaRPr lang="es-AR" sz="800" b="0" i="0" u="none" strike="noStrike" baseline="0">
            <a:solidFill>
              <a:srgbClr val="000080"/>
            </a:solidFill>
            <a:latin typeface="Verdana"/>
          </a:endParaRPr>
        </a:p>
        <a:p>
          <a:pPr algn="ctr" rtl="0">
            <a:lnSpc>
              <a:spcPts val="1100"/>
            </a:lnSpc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0</xdr:col>
      <xdr:colOff>57150</xdr:colOff>
      <xdr:row>0</xdr:row>
      <xdr:rowOff>57150</xdr:rowOff>
    </xdr:from>
    <xdr:to>
      <xdr:col>3</xdr:col>
      <xdr:colOff>390525</xdr:colOff>
      <xdr:row>8</xdr:row>
      <xdr:rowOff>38100</xdr:rowOff>
    </xdr:to>
    <xdr:pic>
      <xdr:nvPicPr>
        <xdr:cNvPr id="1867249" name="Imagen 16">
          <a:extLst>
            <a:ext uri="{FF2B5EF4-FFF2-40B4-BE49-F238E27FC236}">
              <a16:creationId xmlns:a16="http://schemas.microsoft.com/office/drawing/2014/main" id="{27F26DF9-037E-41DC-BC27-03E93DD939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1733550" cy="127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7"/>
  <sheetViews>
    <sheetView topLeftCell="A22" zoomScaleNormal="75" zoomScaleSheetLayoutView="100" workbookViewId="0">
      <selection activeCell="L29" sqref="L29"/>
    </sheetView>
  </sheetViews>
  <sheetFormatPr defaultColWidth="9.140625" defaultRowHeight="12.75"/>
  <cols>
    <col min="1" max="1" width="4.28515625" customWidth="1"/>
    <col min="2" max="6" width="12.42578125" customWidth="1"/>
    <col min="7" max="256" width="11.42578125" customWidth="1"/>
  </cols>
  <sheetData>
    <row r="1" spans="1:9">
      <c r="A1" s="196"/>
      <c r="B1" s="201"/>
      <c r="C1" s="201"/>
      <c r="D1" s="201"/>
      <c r="E1" s="201"/>
      <c r="F1" s="201"/>
      <c r="G1" s="201"/>
      <c r="H1" s="201"/>
      <c r="I1" s="201"/>
    </row>
    <row r="2" spans="1:9">
      <c r="A2" s="202"/>
      <c r="B2" s="196"/>
      <c r="C2" s="196"/>
      <c r="D2" s="196"/>
      <c r="E2" s="196"/>
      <c r="F2" s="196"/>
      <c r="G2" s="196"/>
      <c r="H2" s="196"/>
      <c r="I2" s="196"/>
    </row>
    <row r="3" spans="1:9">
      <c r="A3" s="202"/>
      <c r="B3" s="196"/>
      <c r="C3" s="196"/>
      <c r="D3" s="196"/>
      <c r="E3" s="196"/>
      <c r="F3" s="196"/>
      <c r="G3" s="196"/>
      <c r="H3" s="196"/>
      <c r="I3" s="196"/>
    </row>
    <row r="4" spans="1:9">
      <c r="A4" s="203"/>
      <c r="B4" s="196"/>
      <c r="C4" s="196"/>
      <c r="D4" s="196"/>
      <c r="E4" s="196"/>
      <c r="F4" s="196"/>
      <c r="G4" s="196"/>
      <c r="H4" s="196"/>
      <c r="I4" s="196"/>
    </row>
    <row r="5" spans="1:9">
      <c r="A5" s="202"/>
      <c r="B5" s="196"/>
      <c r="C5" s="196"/>
      <c r="D5" s="196"/>
      <c r="E5" s="196"/>
      <c r="F5" s="196"/>
      <c r="G5" s="196"/>
      <c r="H5" s="196"/>
      <c r="I5" s="196"/>
    </row>
    <row r="6" spans="1:9">
      <c r="A6" s="203"/>
      <c r="B6" s="196"/>
      <c r="C6" s="196"/>
      <c r="D6" s="196"/>
      <c r="E6" s="196"/>
      <c r="F6" s="196"/>
      <c r="G6" s="196"/>
      <c r="H6" s="196"/>
      <c r="I6" s="196"/>
    </row>
    <row r="7" spans="1:9">
      <c r="A7" s="203"/>
      <c r="B7" s="196"/>
      <c r="C7" s="196"/>
      <c r="D7" s="196"/>
      <c r="E7" s="196"/>
      <c r="F7" s="196"/>
      <c r="G7" s="196"/>
      <c r="H7" s="196"/>
      <c r="I7" s="196"/>
    </row>
    <row r="8" spans="1:9">
      <c r="A8" s="203"/>
      <c r="B8" s="196"/>
      <c r="C8" s="196"/>
      <c r="D8" s="196"/>
      <c r="E8" s="196"/>
      <c r="F8" s="196"/>
      <c r="G8" s="196"/>
      <c r="H8" s="196"/>
      <c r="I8" s="196"/>
    </row>
    <row r="9" spans="1:9">
      <c r="A9" s="204"/>
      <c r="B9" s="205"/>
      <c r="C9" s="205"/>
      <c r="D9" s="204"/>
      <c r="E9" s="205"/>
      <c r="F9" s="205"/>
      <c r="G9" s="205"/>
      <c r="H9" s="204"/>
      <c r="I9" s="204"/>
    </row>
    <row r="10" spans="1:9">
      <c r="A10" s="235"/>
      <c r="B10" s="206"/>
      <c r="C10" s="206"/>
      <c r="D10" s="206"/>
      <c r="E10" s="206"/>
      <c r="F10" s="204"/>
      <c r="G10" s="204"/>
      <c r="H10" s="204"/>
      <c r="I10" s="204"/>
    </row>
    <row r="11" spans="1:9">
      <c r="A11" s="235"/>
      <c r="B11" s="207"/>
      <c r="C11" s="204"/>
      <c r="D11" s="240"/>
      <c r="E11" s="204"/>
      <c r="F11" s="204"/>
      <c r="G11" s="204"/>
      <c r="H11" s="204"/>
      <c r="I11" s="204"/>
    </row>
    <row r="12" spans="1:9">
      <c r="A12" s="235"/>
      <c r="B12" s="207"/>
      <c r="C12" s="204"/>
      <c r="D12" s="240"/>
      <c r="E12" s="204"/>
      <c r="F12" s="204"/>
      <c r="G12" s="204"/>
      <c r="H12" s="204"/>
      <c r="I12" s="204"/>
    </row>
    <row r="13" spans="1:9">
      <c r="A13" s="235"/>
      <c r="B13" s="207"/>
      <c r="C13" s="204"/>
      <c r="D13" s="240"/>
      <c r="E13" s="204"/>
      <c r="F13" s="204"/>
      <c r="G13" s="204"/>
      <c r="H13" s="204"/>
      <c r="I13" s="204"/>
    </row>
    <row r="14" spans="1:9">
      <c r="A14" s="235"/>
      <c r="B14" s="207"/>
      <c r="C14" s="204"/>
      <c r="D14" s="240"/>
      <c r="E14" s="204"/>
      <c r="F14" s="204"/>
      <c r="G14" s="204"/>
      <c r="H14" s="204"/>
      <c r="I14" s="204"/>
    </row>
    <row r="15" spans="1:9">
      <c r="A15" s="235"/>
      <c r="B15" s="207"/>
      <c r="C15" s="204"/>
      <c r="D15" s="240"/>
      <c r="E15" s="204"/>
      <c r="F15" s="204"/>
      <c r="G15" s="204"/>
      <c r="H15" s="204"/>
      <c r="I15" s="204"/>
    </row>
    <row r="16" spans="1:9" ht="15">
      <c r="A16" s="235"/>
      <c r="B16" s="207"/>
      <c r="C16" s="204"/>
      <c r="D16" s="265" t="s">
        <v>0</v>
      </c>
      <c r="E16" s="265"/>
      <c r="F16" s="225">
        <v>2021</v>
      </c>
      <c r="G16" s="224"/>
      <c r="H16" s="204"/>
      <c r="I16" s="204"/>
    </row>
    <row r="17" spans="1:9">
      <c r="A17" s="235"/>
      <c r="B17" s="207"/>
      <c r="C17" s="204"/>
      <c r="D17" s="196"/>
      <c r="E17" s="196"/>
      <c r="F17" s="204"/>
      <c r="G17" s="204"/>
      <c r="H17" s="204"/>
      <c r="I17" s="204"/>
    </row>
    <row r="18" spans="1:9">
      <c r="A18" s="235"/>
      <c r="B18" s="207"/>
      <c r="C18" s="204"/>
      <c r="D18" s="240"/>
      <c r="E18" s="204"/>
      <c r="F18" s="204"/>
      <c r="G18" s="204"/>
      <c r="H18" s="204"/>
      <c r="I18" s="204"/>
    </row>
    <row r="19" spans="1:9">
      <c r="A19" s="235"/>
      <c r="B19" s="207"/>
      <c r="C19" s="204"/>
      <c r="D19" s="240"/>
      <c r="E19" s="204"/>
      <c r="F19" s="204"/>
      <c r="G19" s="204"/>
      <c r="H19" s="204"/>
      <c r="I19" s="204"/>
    </row>
    <row r="20" spans="1:9">
      <c r="A20" s="235"/>
      <c r="B20" s="207"/>
      <c r="C20" s="204"/>
      <c r="D20" s="240"/>
      <c r="E20" s="204"/>
      <c r="F20" s="204"/>
      <c r="G20" s="204"/>
      <c r="H20" s="204"/>
      <c r="I20" s="204"/>
    </row>
    <row r="21" spans="1:9">
      <c r="A21" s="235"/>
      <c r="B21" s="207"/>
      <c r="C21" s="204"/>
      <c r="D21" s="240"/>
      <c r="E21" s="204"/>
      <c r="F21" s="204"/>
      <c r="G21" s="204"/>
      <c r="H21" s="204"/>
      <c r="I21" s="204"/>
    </row>
    <row r="22" spans="1:9">
      <c r="A22" s="235"/>
      <c r="B22" s="207"/>
      <c r="C22" s="204"/>
      <c r="D22" s="240"/>
      <c r="E22" s="204"/>
      <c r="F22" s="204"/>
      <c r="G22" s="204"/>
      <c r="H22" s="204"/>
      <c r="I22" s="204"/>
    </row>
    <row r="23" spans="1:9">
      <c r="A23" s="235"/>
      <c r="B23" s="207"/>
      <c r="C23" s="204"/>
      <c r="D23" s="240"/>
      <c r="E23" s="204"/>
      <c r="F23" s="204"/>
      <c r="G23" s="204"/>
      <c r="H23" s="204"/>
      <c r="I23" s="204"/>
    </row>
    <row r="24" spans="1:9">
      <c r="A24" s="235"/>
      <c r="B24" s="207"/>
      <c r="C24" s="204"/>
      <c r="D24" s="240"/>
      <c r="E24" s="204"/>
      <c r="F24" s="204"/>
      <c r="G24" s="204"/>
      <c r="H24" s="204"/>
      <c r="I24" s="204"/>
    </row>
    <row r="25" spans="1:9">
      <c r="A25" s="235"/>
      <c r="B25" s="207"/>
      <c r="C25" s="204"/>
      <c r="D25" s="240"/>
      <c r="E25" s="204"/>
      <c r="F25" s="204"/>
      <c r="G25" s="204"/>
      <c r="H25" s="204"/>
      <c r="I25" s="204"/>
    </row>
    <row r="26" spans="1:9">
      <c r="A26" s="235"/>
      <c r="B26" s="207"/>
      <c r="C26" s="204"/>
      <c r="D26" s="240"/>
      <c r="E26" s="204"/>
      <c r="F26" s="204"/>
      <c r="G26" s="204"/>
      <c r="H26" s="204"/>
      <c r="I26" s="204"/>
    </row>
    <row r="27" spans="1:9">
      <c r="A27" s="235"/>
      <c r="B27" s="204"/>
      <c r="C27" s="204"/>
      <c r="D27" s="208"/>
      <c r="E27" s="204"/>
      <c r="F27" s="204"/>
      <c r="G27" s="204"/>
      <c r="H27" s="204"/>
      <c r="I27" s="204"/>
    </row>
    <row r="28" spans="1:9">
      <c r="A28" s="235"/>
      <c r="B28" s="204"/>
      <c r="C28" s="204"/>
      <c r="D28" s="204"/>
      <c r="E28" s="204"/>
      <c r="F28" s="204"/>
      <c r="G28" s="204"/>
      <c r="H28" s="204"/>
      <c r="I28" s="204"/>
    </row>
    <row r="29" spans="1:9">
      <c r="A29" s="235"/>
      <c r="B29" s="204"/>
      <c r="C29" s="209"/>
      <c r="D29" s="210"/>
      <c r="E29" s="204"/>
      <c r="F29" s="204"/>
      <c r="G29" s="204"/>
      <c r="H29" s="204"/>
      <c r="I29" s="204"/>
    </row>
    <row r="30" spans="1:9">
      <c r="A30" s="235"/>
      <c r="B30" s="204"/>
      <c r="C30" s="204"/>
      <c r="D30" s="204"/>
      <c r="E30" s="204"/>
      <c r="F30" s="204"/>
      <c r="G30" s="204"/>
      <c r="H30" s="204"/>
      <c r="I30" s="204"/>
    </row>
    <row r="31" spans="1:9">
      <c r="A31" s="235"/>
      <c r="B31" s="204"/>
      <c r="C31" s="204"/>
      <c r="D31" s="204"/>
      <c r="E31" s="204"/>
      <c r="F31" s="204"/>
      <c r="G31" s="204"/>
      <c r="H31" s="204"/>
      <c r="I31" s="204"/>
    </row>
    <row r="32" spans="1:9">
      <c r="A32" s="235"/>
      <c r="B32" s="211"/>
      <c r="C32" s="204"/>
      <c r="D32" s="204"/>
      <c r="E32" s="204"/>
      <c r="F32" s="204"/>
      <c r="G32" s="204"/>
      <c r="H32" s="204"/>
      <c r="I32" s="204"/>
    </row>
    <row r="33" spans="1:9">
      <c r="A33" s="235"/>
      <c r="B33" s="212"/>
      <c r="C33" s="212"/>
      <c r="D33" s="206"/>
      <c r="E33" s="206"/>
      <c r="F33" s="206"/>
      <c r="G33" s="204"/>
      <c r="H33" s="204"/>
      <c r="I33" s="204"/>
    </row>
    <row r="34" spans="1:9">
      <c r="A34" s="235"/>
      <c r="B34" s="204"/>
      <c r="C34" s="204"/>
      <c r="D34" s="240"/>
      <c r="E34" s="213"/>
      <c r="F34" s="214"/>
      <c r="G34" s="204"/>
      <c r="H34" s="204"/>
      <c r="I34" s="204"/>
    </row>
    <row r="35" spans="1:9">
      <c r="A35" s="235"/>
      <c r="B35" s="204"/>
      <c r="C35" s="204"/>
      <c r="D35" s="240"/>
      <c r="E35" s="213"/>
      <c r="F35" s="214"/>
      <c r="G35" s="204"/>
      <c r="H35" s="204"/>
      <c r="I35" s="204"/>
    </row>
    <row r="36" spans="1:9">
      <c r="A36" s="235"/>
      <c r="B36" s="204"/>
      <c r="C36" s="204"/>
      <c r="D36" s="240"/>
      <c r="E36" s="213"/>
      <c r="F36" s="214"/>
      <c r="G36" s="204"/>
      <c r="H36" s="204"/>
      <c r="I36" s="204"/>
    </row>
    <row r="37" spans="1:9">
      <c r="A37" s="235"/>
      <c r="B37" s="204"/>
      <c r="C37" s="204"/>
      <c r="D37" s="240"/>
      <c r="E37" s="213"/>
      <c r="F37" s="214"/>
      <c r="G37" s="204"/>
      <c r="H37" s="204"/>
      <c r="I37" s="204"/>
    </row>
    <row r="38" spans="1:9">
      <c r="A38" s="235"/>
      <c r="B38" s="204"/>
      <c r="C38" s="204"/>
      <c r="D38" s="240"/>
      <c r="E38" s="213"/>
      <c r="F38" s="214"/>
      <c r="G38" s="204"/>
      <c r="H38" s="204"/>
      <c r="I38" s="204"/>
    </row>
    <row r="39" spans="1:9">
      <c r="A39" s="235"/>
      <c r="B39" s="204"/>
      <c r="C39" s="215"/>
      <c r="D39" s="208"/>
      <c r="E39" s="208"/>
      <c r="F39" s="216"/>
      <c r="G39" s="204"/>
      <c r="H39" s="204"/>
      <c r="I39" s="204"/>
    </row>
    <row r="40" spans="1:9">
      <c r="A40" s="235"/>
      <c r="B40" s="204"/>
      <c r="C40" s="204"/>
      <c r="D40" s="204"/>
      <c r="E40" s="204"/>
      <c r="F40" s="204"/>
      <c r="G40" s="204"/>
      <c r="H40" s="204"/>
      <c r="I40" s="204"/>
    </row>
    <row r="41" spans="1:9">
      <c r="A41" s="235"/>
      <c r="B41" s="204"/>
      <c r="C41" s="204"/>
      <c r="D41" s="204"/>
      <c r="E41" s="204"/>
      <c r="F41" s="204"/>
      <c r="G41" s="204"/>
      <c r="H41" s="204"/>
      <c r="I41" s="204"/>
    </row>
    <row r="42" spans="1:9">
      <c r="A42" s="235"/>
      <c r="B42" s="204"/>
      <c r="C42" s="204"/>
      <c r="D42" s="204"/>
      <c r="E42" s="204"/>
      <c r="F42" s="204"/>
      <c r="G42" s="204"/>
      <c r="H42" s="204"/>
      <c r="I42" s="204"/>
    </row>
    <row r="43" spans="1:9">
      <c r="A43" s="235"/>
      <c r="B43" s="204"/>
      <c r="C43" s="204"/>
      <c r="D43" s="204"/>
      <c r="E43" s="204"/>
      <c r="F43" s="204"/>
      <c r="G43" s="204"/>
      <c r="H43" s="204"/>
      <c r="I43" s="204"/>
    </row>
    <row r="44" spans="1:9">
      <c r="A44" s="235"/>
      <c r="B44" s="217"/>
      <c r="C44" s="217"/>
      <c r="D44" s="204"/>
      <c r="E44" s="204"/>
      <c r="F44" s="204"/>
      <c r="G44" s="204"/>
      <c r="H44" s="204"/>
      <c r="I44" s="204"/>
    </row>
    <row r="45" spans="1:9">
      <c r="A45" s="235"/>
      <c r="B45" s="218"/>
      <c r="C45" s="218"/>
      <c r="D45" s="219"/>
      <c r="E45" s="219"/>
      <c r="F45" s="219"/>
      <c r="G45" s="204"/>
      <c r="H45" s="204"/>
      <c r="I45" s="204"/>
    </row>
    <row r="46" spans="1:9">
      <c r="A46" s="235"/>
      <c r="B46" s="204"/>
      <c r="C46" s="204"/>
      <c r="D46" s="240"/>
      <c r="E46" s="213"/>
      <c r="F46" s="214"/>
      <c r="G46" s="204"/>
      <c r="H46" s="204"/>
      <c r="I46" s="204"/>
    </row>
    <row r="47" spans="1:9">
      <c r="A47" s="235"/>
      <c r="B47" s="204"/>
      <c r="C47" s="204"/>
      <c r="D47" s="240"/>
      <c r="E47" s="213"/>
      <c r="F47" s="214"/>
      <c r="G47" s="204"/>
      <c r="H47" s="204"/>
      <c r="I47" s="204"/>
    </row>
    <row r="48" spans="1:9">
      <c r="A48" s="235"/>
      <c r="B48" s="204"/>
      <c r="C48" s="204"/>
      <c r="D48" s="240"/>
      <c r="E48" s="213"/>
      <c r="F48" s="214"/>
      <c r="G48" s="204"/>
      <c r="H48" s="204"/>
      <c r="I48" s="204"/>
    </row>
    <row r="49" spans="1:9">
      <c r="A49" s="235"/>
      <c r="B49" s="204"/>
      <c r="C49" s="204"/>
      <c r="D49" s="240"/>
      <c r="E49" s="213"/>
      <c r="F49" s="214"/>
      <c r="G49" s="204"/>
      <c r="H49" s="204"/>
      <c r="I49" s="204"/>
    </row>
    <row r="50" spans="1:9">
      <c r="A50" s="235"/>
      <c r="B50" s="204"/>
      <c r="C50" s="204"/>
      <c r="D50" s="240"/>
      <c r="E50" s="213"/>
      <c r="F50" s="214"/>
      <c r="G50" s="204"/>
      <c r="H50" s="204"/>
      <c r="I50" s="204"/>
    </row>
    <row r="51" spans="1:9">
      <c r="A51" s="235"/>
      <c r="B51" s="204"/>
      <c r="C51" s="220"/>
      <c r="D51" s="221"/>
      <c r="E51" s="221"/>
      <c r="F51" s="222"/>
      <c r="G51" s="204"/>
      <c r="H51" s="204"/>
      <c r="I51" s="204"/>
    </row>
    <row r="52" spans="1:9">
      <c r="A52" s="235"/>
      <c r="B52" s="204"/>
      <c r="C52" s="204"/>
      <c r="D52" s="204"/>
      <c r="E52" s="204"/>
      <c r="F52" s="204"/>
      <c r="G52" s="204"/>
      <c r="H52" s="204"/>
      <c r="I52" s="204"/>
    </row>
    <row r="53" spans="1:9">
      <c r="A53" s="235"/>
      <c r="B53" s="204"/>
      <c r="C53" s="204"/>
      <c r="D53" s="204"/>
      <c r="E53" s="204"/>
      <c r="F53" s="204"/>
      <c r="G53" s="204"/>
      <c r="H53" s="204"/>
      <c r="I53" s="204"/>
    </row>
    <row r="54" spans="1:9">
      <c r="A54" s="235"/>
      <c r="B54" s="204"/>
      <c r="C54" s="204"/>
      <c r="D54" s="204"/>
      <c r="E54" s="204"/>
      <c r="F54" s="204"/>
      <c r="G54" s="204"/>
      <c r="H54" s="204"/>
      <c r="I54" s="204"/>
    </row>
    <row r="55" spans="1:9">
      <c r="A55" s="235"/>
      <c r="B55" s="204"/>
      <c r="C55" s="204"/>
      <c r="D55" s="204"/>
      <c r="E55" s="204"/>
      <c r="F55" s="204"/>
      <c r="G55" s="204"/>
      <c r="H55" s="204"/>
      <c r="I55" s="204"/>
    </row>
    <row r="56" spans="1:9">
      <c r="A56" s="223"/>
      <c r="B56" s="204"/>
      <c r="C56" s="204"/>
      <c r="D56" s="204"/>
      <c r="E56" s="204"/>
      <c r="F56" s="204"/>
      <c r="G56" s="204"/>
      <c r="H56" s="204"/>
      <c r="I56" s="204"/>
    </row>
    <row r="57" spans="1:9">
      <c r="A57" s="204"/>
      <c r="B57" s="204"/>
      <c r="C57" s="204"/>
      <c r="D57" s="204"/>
      <c r="E57" s="204"/>
      <c r="F57" s="204"/>
      <c r="G57" s="204"/>
      <c r="H57" s="204"/>
      <c r="I57" s="204"/>
    </row>
    <row r="58" spans="1:9">
      <c r="A58" s="204"/>
      <c r="B58" s="204"/>
      <c r="C58" s="204"/>
      <c r="D58" s="204"/>
      <c r="E58" s="204"/>
      <c r="F58" s="204"/>
      <c r="G58" s="204"/>
      <c r="H58" s="204"/>
      <c r="I58" s="204"/>
    </row>
    <row r="59" spans="1:9">
      <c r="A59" s="204"/>
      <c r="B59" s="204"/>
      <c r="C59" s="204"/>
      <c r="D59" s="204"/>
      <c r="E59" s="204"/>
      <c r="F59" s="204"/>
      <c r="G59" s="204"/>
      <c r="H59" s="204"/>
      <c r="I59" s="204"/>
    </row>
    <row r="60" spans="1:9">
      <c r="A60" s="204"/>
      <c r="B60" s="204"/>
      <c r="C60" s="204"/>
      <c r="D60" s="204"/>
      <c r="E60" s="204"/>
      <c r="F60" s="204"/>
      <c r="G60" s="204"/>
      <c r="H60" s="204"/>
      <c r="I60" s="204"/>
    </row>
    <row r="61" spans="1:9">
      <c r="A61" s="204"/>
      <c r="B61" s="204"/>
      <c r="C61" s="204"/>
      <c r="D61" s="204"/>
      <c r="E61" s="204"/>
      <c r="F61" s="204"/>
      <c r="G61" s="204"/>
      <c r="H61" s="204"/>
      <c r="I61" s="204"/>
    </row>
    <row r="62" spans="1:9">
      <c r="A62" s="204"/>
      <c r="B62" s="204"/>
      <c r="C62" s="204"/>
      <c r="D62" s="204"/>
      <c r="E62" s="204"/>
      <c r="F62" s="204"/>
      <c r="G62" s="204"/>
      <c r="H62" s="204"/>
      <c r="I62" s="204"/>
    </row>
    <row r="63" spans="1:9">
      <c r="A63" s="204"/>
      <c r="B63" s="204"/>
      <c r="C63" s="204"/>
      <c r="D63" s="204"/>
      <c r="E63" s="204"/>
      <c r="F63" s="204"/>
      <c r="G63" s="204"/>
      <c r="H63" s="204"/>
      <c r="I63" s="204"/>
    </row>
    <row r="64" spans="1:9">
      <c r="A64" s="204"/>
      <c r="B64" s="204"/>
      <c r="C64" s="204"/>
      <c r="D64" s="204"/>
      <c r="E64" s="204"/>
      <c r="F64" s="204"/>
      <c r="G64" s="204"/>
      <c r="H64" s="204"/>
      <c r="I64" s="204"/>
    </row>
    <row r="65" spans="1:9">
      <c r="A65" s="2"/>
      <c r="B65" s="2"/>
      <c r="C65" s="2"/>
      <c r="D65" s="2"/>
      <c r="E65" s="2"/>
      <c r="F65" s="2"/>
      <c r="G65" s="2"/>
      <c r="H65" s="2"/>
      <c r="I65" s="2"/>
    </row>
    <row r="66" spans="1:9">
      <c r="A66" s="2"/>
      <c r="B66" s="2"/>
      <c r="C66" s="2"/>
      <c r="D66" s="2"/>
      <c r="E66" s="2"/>
      <c r="F66" s="2"/>
      <c r="G66" s="2"/>
      <c r="H66" s="2"/>
      <c r="I66" s="2"/>
    </row>
    <row r="67" spans="1:9">
      <c r="A67" s="2"/>
      <c r="B67" s="2"/>
      <c r="C67" s="2"/>
      <c r="D67" s="2"/>
      <c r="E67" s="2"/>
      <c r="F67" s="2"/>
      <c r="G67" s="2"/>
      <c r="H67" s="2"/>
      <c r="I67" s="2"/>
    </row>
  </sheetData>
  <mergeCells count="1">
    <mergeCell ref="D16:E16"/>
  </mergeCells>
  <phoneticPr fontId="0" type="noConversion"/>
  <pageMargins left="0.75" right="0.75" top="1" bottom="1" header="0" footer="0"/>
  <pageSetup paperSize="9" scale="50" orientation="portrait" horizontalDpi="4294967293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75"/>
  <sheetViews>
    <sheetView topLeftCell="A19" zoomScaleNormal="100" workbookViewId="0">
      <selection activeCell="H59" sqref="H59"/>
    </sheetView>
  </sheetViews>
  <sheetFormatPr defaultColWidth="9.140625" defaultRowHeight="12.75"/>
  <cols>
    <col min="1" max="2" width="4.28515625" customWidth="1"/>
    <col min="3" max="10" width="12.42578125" customWidth="1"/>
    <col min="11" max="256" width="11.42578125" customWidth="1"/>
  </cols>
  <sheetData>
    <row r="1" spans="1:11">
      <c r="A1" s="3"/>
      <c r="B1" s="3"/>
      <c r="C1" s="4"/>
      <c r="D1" s="4"/>
      <c r="E1" s="4"/>
      <c r="F1" s="4"/>
      <c r="G1" s="4"/>
      <c r="H1" s="4"/>
      <c r="I1" s="4"/>
      <c r="J1" s="4"/>
      <c r="K1" s="3"/>
    </row>
    <row r="2" spans="1:11">
      <c r="A2" s="5"/>
      <c r="B2" s="5"/>
      <c r="C2" s="3"/>
      <c r="D2" s="3"/>
      <c r="E2" s="3"/>
      <c r="F2" s="3"/>
      <c r="G2" s="3"/>
      <c r="H2" s="3"/>
      <c r="I2" s="3"/>
      <c r="J2" s="3"/>
      <c r="K2" s="3"/>
    </row>
    <row r="3" spans="1:11">
      <c r="A3" s="5"/>
      <c r="B3" s="5"/>
      <c r="C3" s="3"/>
      <c r="D3" s="3"/>
      <c r="E3" s="3"/>
      <c r="F3" s="3"/>
      <c r="G3" s="3"/>
      <c r="H3" s="3"/>
      <c r="I3" s="3"/>
      <c r="J3" s="3"/>
      <c r="K3" s="3"/>
    </row>
    <row r="4" spans="1:11">
      <c r="A4" s="6"/>
      <c r="B4" s="6"/>
      <c r="C4" s="3"/>
      <c r="D4" s="3"/>
      <c r="E4" s="3"/>
      <c r="F4" s="3"/>
      <c r="G4" s="3"/>
      <c r="H4" s="3"/>
      <c r="I4" s="3"/>
      <c r="J4" s="3"/>
      <c r="K4" s="3"/>
    </row>
    <row r="5" spans="1:11">
      <c r="A5" s="5"/>
      <c r="B5" s="5"/>
      <c r="C5" s="3"/>
      <c r="D5" s="3"/>
      <c r="E5" s="3"/>
      <c r="F5" s="3"/>
      <c r="G5" s="3"/>
      <c r="H5" s="3"/>
      <c r="I5" s="3"/>
      <c r="J5" s="3"/>
      <c r="K5" s="3"/>
    </row>
    <row r="6" spans="1:11">
      <c r="A6" s="6"/>
      <c r="B6" s="6"/>
      <c r="C6" s="3"/>
      <c r="D6" s="3"/>
      <c r="E6" s="3"/>
      <c r="F6" s="3"/>
      <c r="G6" s="3"/>
      <c r="H6" s="3"/>
      <c r="I6" s="3"/>
      <c r="J6" s="3"/>
      <c r="K6" s="3"/>
    </row>
    <row r="7" spans="1:11">
      <c r="A7" s="6"/>
      <c r="B7" s="6"/>
      <c r="C7" s="3"/>
      <c r="D7" s="3"/>
      <c r="E7" s="284" t="s">
        <v>1</v>
      </c>
      <c r="F7" s="284"/>
      <c r="G7" s="284"/>
      <c r="H7" s="284"/>
      <c r="I7" s="237" t="s">
        <v>56</v>
      </c>
      <c r="J7" s="226">
        <f>CARÁTULA!$F$16</f>
        <v>2021</v>
      </c>
      <c r="K7" s="3"/>
    </row>
    <row r="8" spans="1:11">
      <c r="A8" s="6"/>
      <c r="B8" s="6"/>
      <c r="C8" s="3"/>
      <c r="D8" s="3"/>
      <c r="E8" s="3"/>
      <c r="F8" s="3"/>
      <c r="G8" s="3"/>
      <c r="H8" s="3"/>
      <c r="I8" s="3"/>
      <c r="J8" s="3"/>
      <c r="K8" s="3"/>
    </row>
    <row r="9" spans="1:11">
      <c r="A9" s="7"/>
      <c r="B9" s="7"/>
      <c r="C9" s="8"/>
      <c r="D9" s="8"/>
      <c r="E9" s="7"/>
      <c r="F9" s="8"/>
      <c r="G9" s="8"/>
      <c r="H9" s="8"/>
      <c r="I9" s="7"/>
      <c r="J9" s="7"/>
      <c r="K9" s="3"/>
    </row>
    <row r="10" spans="1:11">
      <c r="A10" s="9"/>
      <c r="B10" s="241" t="s">
        <v>3</v>
      </c>
      <c r="C10" s="241" t="s">
        <v>4</v>
      </c>
      <c r="D10" s="267" t="s">
        <v>5</v>
      </c>
      <c r="E10" s="267"/>
      <c r="F10" s="267" t="s">
        <v>6</v>
      </c>
      <c r="G10" s="267"/>
      <c r="H10" s="267" t="s">
        <v>7</v>
      </c>
      <c r="I10" s="267"/>
      <c r="J10" s="267"/>
      <c r="K10" s="3"/>
    </row>
    <row r="11" spans="1:11">
      <c r="A11" s="9"/>
      <c r="B11" s="9">
        <v>133</v>
      </c>
      <c r="C11" s="42">
        <v>44410</v>
      </c>
      <c r="D11" s="335" t="s">
        <v>11</v>
      </c>
      <c r="E11" s="335"/>
      <c r="F11" s="269">
        <v>34530</v>
      </c>
      <c r="G11" s="269"/>
      <c r="H11" s="266" t="s">
        <v>42</v>
      </c>
      <c r="I11" s="266"/>
      <c r="J11" s="266"/>
      <c r="K11" s="3"/>
    </row>
    <row r="12" spans="1:11">
      <c r="A12" s="9"/>
      <c r="B12" s="9">
        <v>134</v>
      </c>
      <c r="C12" s="42">
        <v>44410</v>
      </c>
      <c r="D12" s="335" t="s">
        <v>8</v>
      </c>
      <c r="E12" s="335"/>
      <c r="F12" s="269">
        <v>48000</v>
      </c>
      <c r="G12" s="269"/>
      <c r="H12" s="266" t="s">
        <v>42</v>
      </c>
      <c r="I12" s="266"/>
      <c r="J12" s="266"/>
      <c r="K12" s="3"/>
    </row>
    <row r="13" spans="1:11">
      <c r="A13" s="9"/>
      <c r="B13" s="9">
        <v>135</v>
      </c>
      <c r="C13" s="42">
        <v>44413</v>
      </c>
      <c r="D13" s="335" t="s">
        <v>57</v>
      </c>
      <c r="E13" s="335"/>
      <c r="F13" s="269">
        <v>88770</v>
      </c>
      <c r="G13" s="269"/>
      <c r="H13" s="266" t="s">
        <v>42</v>
      </c>
      <c r="I13" s="266"/>
      <c r="J13" s="266"/>
      <c r="K13" s="3"/>
    </row>
    <row r="14" spans="1:11">
      <c r="A14" s="9"/>
      <c r="B14" s="9">
        <v>136</v>
      </c>
      <c r="C14" s="42">
        <v>44415</v>
      </c>
      <c r="D14" s="335" t="s">
        <v>11</v>
      </c>
      <c r="E14" s="335"/>
      <c r="F14" s="269">
        <v>66210</v>
      </c>
      <c r="G14" s="269"/>
      <c r="H14" s="266" t="s">
        <v>42</v>
      </c>
      <c r="I14" s="266"/>
      <c r="J14" s="266"/>
      <c r="K14" s="3"/>
    </row>
    <row r="15" spans="1:11">
      <c r="A15" s="9"/>
      <c r="B15" s="9">
        <v>137</v>
      </c>
      <c r="C15" s="42">
        <v>44416</v>
      </c>
      <c r="D15" s="335" t="s">
        <v>8</v>
      </c>
      <c r="E15" s="335"/>
      <c r="F15" s="269">
        <v>49830</v>
      </c>
      <c r="G15" s="269"/>
      <c r="H15" s="266" t="s">
        <v>42</v>
      </c>
      <c r="I15" s="266"/>
      <c r="J15" s="266"/>
      <c r="K15" s="3"/>
    </row>
    <row r="16" spans="1:11">
      <c r="A16" s="9"/>
      <c r="B16" s="9">
        <v>138</v>
      </c>
      <c r="C16" s="42">
        <v>44423</v>
      </c>
      <c r="D16" s="335" t="s">
        <v>11</v>
      </c>
      <c r="E16" s="335"/>
      <c r="F16" s="269">
        <v>38580</v>
      </c>
      <c r="G16" s="269"/>
      <c r="H16" s="266" t="s">
        <v>42</v>
      </c>
      <c r="I16" s="266"/>
      <c r="J16" s="266"/>
      <c r="K16" s="3"/>
    </row>
    <row r="17" spans="1:11">
      <c r="A17" s="9"/>
      <c r="B17" s="9">
        <v>139</v>
      </c>
      <c r="C17" s="42">
        <v>44425</v>
      </c>
      <c r="D17" s="335" t="s">
        <v>57</v>
      </c>
      <c r="E17" s="335"/>
      <c r="F17" s="269">
        <v>70320</v>
      </c>
      <c r="G17" s="269"/>
      <c r="H17" s="266" t="s">
        <v>42</v>
      </c>
      <c r="I17" s="266"/>
      <c r="J17" s="266"/>
      <c r="K17" s="3"/>
    </row>
    <row r="18" spans="1:11">
      <c r="A18" s="9"/>
      <c r="B18" s="9">
        <v>140</v>
      </c>
      <c r="C18" s="42">
        <v>44425</v>
      </c>
      <c r="D18" s="335" t="s">
        <v>35</v>
      </c>
      <c r="E18" s="335"/>
      <c r="F18" s="269">
        <v>64800</v>
      </c>
      <c r="G18" s="269"/>
      <c r="H18" s="266" t="s">
        <v>42</v>
      </c>
      <c r="I18" s="266"/>
      <c r="J18" s="266"/>
      <c r="K18" s="3"/>
    </row>
    <row r="19" spans="1:11">
      <c r="A19" s="9"/>
      <c r="B19" s="9">
        <v>141</v>
      </c>
      <c r="C19" s="42">
        <v>44429</v>
      </c>
      <c r="D19" s="335" t="s">
        <v>11</v>
      </c>
      <c r="E19" s="335"/>
      <c r="F19" s="269">
        <v>26160</v>
      </c>
      <c r="G19" s="269"/>
      <c r="H19" s="266" t="s">
        <v>42</v>
      </c>
      <c r="I19" s="266"/>
      <c r="J19" s="266"/>
      <c r="K19" s="3"/>
    </row>
    <row r="20" spans="1:11">
      <c r="A20" s="9"/>
      <c r="B20" s="9">
        <v>142</v>
      </c>
      <c r="C20" s="42">
        <v>44429</v>
      </c>
      <c r="D20" s="266" t="s">
        <v>35</v>
      </c>
      <c r="E20" s="266"/>
      <c r="F20" s="269">
        <v>20460</v>
      </c>
      <c r="G20" s="269"/>
      <c r="H20" s="266" t="s">
        <v>42</v>
      </c>
      <c r="I20" s="266"/>
      <c r="J20" s="266"/>
      <c r="K20" s="3"/>
    </row>
    <row r="21" spans="1:11">
      <c r="A21" s="9"/>
      <c r="B21" s="9">
        <v>143</v>
      </c>
      <c r="C21" s="42">
        <v>44438</v>
      </c>
      <c r="D21" s="266" t="s">
        <v>35</v>
      </c>
      <c r="E21" s="266"/>
      <c r="F21" s="269">
        <v>62730</v>
      </c>
      <c r="G21" s="269"/>
      <c r="H21" s="266" t="s">
        <v>42</v>
      </c>
      <c r="I21" s="266"/>
      <c r="J21" s="266"/>
      <c r="K21" s="3"/>
    </row>
    <row r="22" spans="1:11">
      <c r="A22" s="9"/>
      <c r="B22" s="9">
        <v>144</v>
      </c>
      <c r="C22" s="42">
        <v>44438</v>
      </c>
      <c r="D22" s="266" t="s">
        <v>57</v>
      </c>
      <c r="E22" s="266"/>
      <c r="F22" s="269">
        <v>71640</v>
      </c>
      <c r="G22" s="269"/>
      <c r="H22" s="266" t="s">
        <v>42</v>
      </c>
      <c r="I22" s="266"/>
      <c r="J22" s="266"/>
      <c r="K22" s="3"/>
    </row>
    <row r="23" spans="1:11">
      <c r="A23" s="9"/>
      <c r="B23" s="9"/>
      <c r="C23" s="42"/>
      <c r="D23" s="266"/>
      <c r="E23" s="266"/>
      <c r="F23" s="269"/>
      <c r="G23" s="269"/>
      <c r="H23" s="266"/>
      <c r="I23" s="266"/>
      <c r="J23" s="266"/>
      <c r="K23" s="3"/>
    </row>
    <row r="24" spans="1:11">
      <c r="A24" s="9"/>
      <c r="B24" s="9"/>
      <c r="C24" s="42"/>
      <c r="D24" s="266"/>
      <c r="E24" s="266"/>
      <c r="F24" s="269"/>
      <c r="G24" s="269"/>
      <c r="H24" s="266"/>
      <c r="I24" s="266"/>
      <c r="J24" s="266"/>
      <c r="K24" s="3"/>
    </row>
    <row r="25" spans="1:11">
      <c r="A25" s="9"/>
      <c r="B25" s="9"/>
      <c r="C25" s="42"/>
      <c r="D25" s="266"/>
      <c r="E25" s="266"/>
      <c r="F25" s="269"/>
      <c r="G25" s="269"/>
      <c r="H25" s="266"/>
      <c r="I25" s="266"/>
      <c r="J25" s="266"/>
      <c r="K25" s="3"/>
    </row>
    <row r="26" spans="1:11">
      <c r="A26" s="9"/>
      <c r="B26" s="9"/>
      <c r="C26" s="42"/>
      <c r="D26" s="266"/>
      <c r="E26" s="266"/>
      <c r="F26" s="269"/>
      <c r="G26" s="269"/>
      <c r="H26" s="266"/>
      <c r="I26" s="266"/>
      <c r="J26" s="266"/>
      <c r="K26" s="3"/>
    </row>
    <row r="27" spans="1:11">
      <c r="A27" s="9"/>
      <c r="B27" s="9"/>
      <c r="C27" s="42"/>
      <c r="D27" s="266"/>
      <c r="E27" s="266"/>
      <c r="F27" s="269"/>
      <c r="G27" s="269"/>
      <c r="H27" s="266"/>
      <c r="I27" s="266"/>
      <c r="J27" s="266"/>
      <c r="K27" s="3"/>
    </row>
    <row r="28" spans="1:11">
      <c r="A28" s="9"/>
      <c r="B28" s="9"/>
      <c r="C28" s="42"/>
      <c r="D28" s="266"/>
      <c r="E28" s="266"/>
      <c r="F28" s="269"/>
      <c r="G28" s="269"/>
      <c r="H28" s="266"/>
      <c r="I28" s="266"/>
      <c r="J28" s="266"/>
      <c r="K28" s="3"/>
    </row>
    <row r="29" spans="1:11">
      <c r="A29" s="9"/>
      <c r="B29" s="9"/>
      <c r="C29" s="42"/>
      <c r="D29" s="266"/>
      <c r="E29" s="266"/>
      <c r="F29" s="274"/>
      <c r="G29" s="274"/>
      <c r="H29" s="266"/>
      <c r="I29" s="266"/>
      <c r="J29" s="266"/>
      <c r="K29" s="3"/>
    </row>
    <row r="30" spans="1:11">
      <c r="A30" s="9"/>
      <c r="B30" s="9"/>
      <c r="C30" s="11"/>
      <c r="D30" s="10"/>
      <c r="E30" s="10"/>
      <c r="F30" s="280">
        <f>SUM(F11:G28)</f>
        <v>642030</v>
      </c>
      <c r="G30" s="281"/>
      <c r="H30" s="18"/>
      <c r="I30" s="18"/>
      <c r="J30" s="18"/>
      <c r="K30" s="3"/>
    </row>
    <row r="31" spans="1:11">
      <c r="A31" s="9"/>
      <c r="B31" s="9"/>
      <c r="C31" s="11"/>
      <c r="D31" s="10"/>
      <c r="E31" s="10"/>
      <c r="F31" s="47"/>
      <c r="G31" s="183"/>
      <c r="H31" s="18"/>
      <c r="I31" s="18"/>
      <c r="J31" s="18"/>
      <c r="K31" s="3"/>
    </row>
    <row r="32" spans="1:11">
      <c r="A32" s="9"/>
      <c r="B32" s="9"/>
      <c r="C32" s="7"/>
      <c r="D32" s="282" t="s">
        <v>15</v>
      </c>
      <c r="E32" s="282"/>
      <c r="F32" s="7"/>
      <c r="G32" s="41">
        <f>F30/1000</f>
        <v>642.03</v>
      </c>
      <c r="H32" s="7"/>
      <c r="I32" s="7"/>
      <c r="J32" s="7"/>
      <c r="K32" s="3"/>
    </row>
    <row r="33" spans="1:11">
      <c r="A33" s="9"/>
      <c r="B33" s="9"/>
      <c r="C33" s="7"/>
      <c r="D33" s="7"/>
      <c r="E33" s="13"/>
      <c r="F33" s="7"/>
      <c r="G33" s="7"/>
      <c r="H33" s="7"/>
      <c r="I33" s="7"/>
      <c r="J33" s="7"/>
      <c r="K33" s="3"/>
    </row>
    <row r="34" spans="1:11">
      <c r="A34" s="9"/>
      <c r="B34" s="9"/>
      <c r="C34" s="267" t="s">
        <v>16</v>
      </c>
      <c r="D34" s="267"/>
      <c r="E34" s="267" t="s">
        <v>17</v>
      </c>
      <c r="F34" s="267"/>
      <c r="G34" s="241" t="s">
        <v>18</v>
      </c>
      <c r="H34" s="241" t="s">
        <v>19</v>
      </c>
      <c r="I34" s="7"/>
      <c r="J34" s="7"/>
      <c r="K34" s="3"/>
    </row>
    <row r="35" spans="1:11">
      <c r="A35" s="9"/>
      <c r="B35" s="9"/>
      <c r="C35" s="279" t="s">
        <v>20</v>
      </c>
      <c r="D35" s="279"/>
      <c r="E35" s="336">
        <v>0</v>
      </c>
      <c r="F35" s="336"/>
      <c r="G35" s="43">
        <f>+E35/E40</f>
        <v>0</v>
      </c>
      <c r="H35" s="45">
        <v>0</v>
      </c>
      <c r="I35" s="7"/>
      <c r="J35" s="7"/>
      <c r="K35" s="3"/>
    </row>
    <row r="36" spans="1:11">
      <c r="A36" s="9"/>
      <c r="B36" s="9"/>
      <c r="C36" s="266" t="s">
        <v>21</v>
      </c>
      <c r="D36" s="266"/>
      <c r="E36" s="336">
        <f>F18+F20+F21</f>
        <v>147990</v>
      </c>
      <c r="F36" s="336"/>
      <c r="G36" s="43">
        <f>+E36/E40</f>
        <v>0.23050324751179851</v>
      </c>
      <c r="H36" s="45">
        <v>3</v>
      </c>
      <c r="I36" s="7"/>
      <c r="J36" s="7"/>
      <c r="K36" s="3"/>
    </row>
    <row r="37" spans="1:11">
      <c r="A37" s="9"/>
      <c r="B37" s="9"/>
      <c r="C37" s="266" t="s">
        <v>53</v>
      </c>
      <c r="D37" s="266"/>
      <c r="E37" s="336">
        <f>F12+F15</f>
        <v>97830</v>
      </c>
      <c r="F37" s="336"/>
      <c r="G37" s="43">
        <f>+E37/E40</f>
        <v>0.1523760571935891</v>
      </c>
      <c r="H37" s="45">
        <v>2</v>
      </c>
      <c r="I37" s="7"/>
      <c r="J37" s="7"/>
      <c r="K37" s="3"/>
    </row>
    <row r="38" spans="1:11">
      <c r="A38" s="9"/>
      <c r="B38" s="9"/>
      <c r="C38" s="266" t="s">
        <v>54</v>
      </c>
      <c r="D38" s="266"/>
      <c r="E38" s="336">
        <f>F11+F14+F16+F19</f>
        <v>165480</v>
      </c>
      <c r="F38" s="336"/>
      <c r="G38" s="43">
        <f>+E38/E40</f>
        <v>0.25774496518854262</v>
      </c>
      <c r="H38" s="45">
        <v>4</v>
      </c>
      <c r="I38" s="7"/>
      <c r="J38" s="7"/>
      <c r="K38" s="3"/>
    </row>
    <row r="39" spans="1:11">
      <c r="A39" s="9"/>
      <c r="B39" s="9"/>
      <c r="C39" s="266" t="s">
        <v>58</v>
      </c>
      <c r="D39" s="266"/>
      <c r="E39" s="269">
        <f>F13+F17+F22</f>
        <v>230730</v>
      </c>
      <c r="F39" s="269"/>
      <c r="G39" s="43">
        <f>+E39/E40</f>
        <v>0.35937573010606982</v>
      </c>
      <c r="H39" s="45">
        <v>3</v>
      </c>
      <c r="I39" s="7"/>
      <c r="J39" s="7"/>
      <c r="K39" s="3"/>
    </row>
    <row r="40" spans="1:11">
      <c r="A40" s="9"/>
      <c r="B40" s="9"/>
      <c r="C40" s="14"/>
      <c r="D40" s="238" t="s">
        <v>24</v>
      </c>
      <c r="E40" s="337">
        <f>SUM(E35:F39)</f>
        <v>642030</v>
      </c>
      <c r="F40" s="337"/>
      <c r="G40" s="44">
        <f>SUM(G35:G39)</f>
        <v>1</v>
      </c>
      <c r="H40" s="46">
        <f>SUM(H35:H39)</f>
        <v>12</v>
      </c>
      <c r="I40" s="7"/>
      <c r="J40" s="7"/>
      <c r="K40" s="3"/>
    </row>
    <row r="41" spans="1:11">
      <c r="A41" s="9"/>
      <c r="B41" s="9"/>
      <c r="C41" s="40"/>
      <c r="D41" s="7"/>
      <c r="E41" s="12"/>
      <c r="F41" s="16"/>
      <c r="G41" s="17"/>
      <c r="H41" s="7"/>
      <c r="I41" s="7"/>
      <c r="J41" s="7"/>
      <c r="K41" s="3"/>
    </row>
    <row r="42" spans="1:11">
      <c r="A42" s="9"/>
      <c r="B42" s="9"/>
      <c r="C42" s="270" t="s">
        <v>7</v>
      </c>
      <c r="D42" s="271"/>
      <c r="E42" s="272"/>
      <c r="F42" s="273" t="s">
        <v>6</v>
      </c>
      <c r="G42" s="267"/>
      <c r="H42" s="241" t="s">
        <v>18</v>
      </c>
      <c r="I42" s="7"/>
      <c r="J42" s="7"/>
      <c r="K42" s="3"/>
    </row>
    <row r="43" spans="1:11">
      <c r="A43" s="9"/>
      <c r="B43" s="9"/>
      <c r="C43" s="266" t="s">
        <v>25</v>
      </c>
      <c r="D43" s="266"/>
      <c r="E43" s="266"/>
      <c r="F43" s="236"/>
      <c r="G43" s="236">
        <v>0</v>
      </c>
      <c r="H43" s="43">
        <f>+G43/F45</f>
        <v>0</v>
      </c>
      <c r="I43" s="7"/>
      <c r="J43" s="7"/>
      <c r="K43" s="3"/>
    </row>
    <row r="44" spans="1:11">
      <c r="A44" s="9"/>
      <c r="B44" s="9"/>
      <c r="C44" s="266" t="s">
        <v>26</v>
      </c>
      <c r="D44" s="266"/>
      <c r="E44" s="266"/>
      <c r="F44" s="236"/>
      <c r="G44" s="236">
        <f>F30</f>
        <v>642030</v>
      </c>
      <c r="H44" s="43">
        <f>+G44/F45</f>
        <v>1</v>
      </c>
      <c r="I44" s="7"/>
      <c r="J44" s="7"/>
      <c r="K44" s="3"/>
    </row>
    <row r="45" spans="1:11">
      <c r="A45" s="9"/>
      <c r="B45" s="9"/>
      <c r="C45" s="7"/>
      <c r="D45" s="7" t="s">
        <v>24</v>
      </c>
      <c r="E45" s="7"/>
      <c r="F45" s="277">
        <f>SUM(F43:G44)</f>
        <v>642030</v>
      </c>
      <c r="G45" s="277"/>
      <c r="H45" s="44">
        <f>SUM(H43:H44)</f>
        <v>1</v>
      </c>
      <c r="I45" s="7"/>
      <c r="J45" s="7"/>
      <c r="K45" s="3"/>
    </row>
    <row r="46" spans="1:11">
      <c r="A46" s="9"/>
      <c r="B46" s="9"/>
      <c r="C46" s="7"/>
      <c r="D46" s="7"/>
      <c r="E46" s="7"/>
      <c r="F46" s="47"/>
      <c r="G46" s="47"/>
      <c r="H46" s="49"/>
      <c r="I46" s="7"/>
      <c r="J46" s="7"/>
      <c r="K46" s="3"/>
    </row>
    <row r="47" spans="1:11">
      <c r="A47" s="9"/>
      <c r="B47" s="9"/>
      <c r="C47" s="7"/>
      <c r="D47" s="3"/>
      <c r="E47" s="278" t="s">
        <v>27</v>
      </c>
      <c r="F47" s="278"/>
      <c r="G47" s="278"/>
      <c r="H47" s="278"/>
      <c r="I47" s="7"/>
      <c r="J47" s="7"/>
      <c r="K47" s="3"/>
    </row>
    <row r="48" spans="1:11">
      <c r="A48" s="9"/>
      <c r="B48" s="9"/>
      <c r="C48" s="7"/>
      <c r="D48" s="56"/>
      <c r="E48" s="7"/>
      <c r="F48" s="7"/>
      <c r="G48" s="7"/>
      <c r="H48" s="7"/>
      <c r="I48" s="7"/>
      <c r="J48" s="7"/>
      <c r="K48" s="3"/>
    </row>
    <row r="49" spans="1:11">
      <c r="A49" s="7"/>
      <c r="B49" s="7"/>
      <c r="C49" s="7"/>
      <c r="D49" s="55" t="s">
        <v>28</v>
      </c>
      <c r="E49" s="275">
        <v>2019</v>
      </c>
      <c r="F49" s="276"/>
      <c r="G49" s="275">
        <v>2020</v>
      </c>
      <c r="H49" s="276"/>
      <c r="I49" s="7"/>
      <c r="J49" s="7"/>
      <c r="K49" s="3"/>
    </row>
    <row r="50" spans="1:11">
      <c r="A50" s="7"/>
      <c r="B50" s="7"/>
      <c r="C50" s="7"/>
      <c r="D50" s="54" t="s">
        <v>29</v>
      </c>
      <c r="E50" s="51" t="s">
        <v>30</v>
      </c>
      <c r="F50" s="51" t="s">
        <v>31</v>
      </c>
      <c r="G50" s="51" t="s">
        <v>30</v>
      </c>
      <c r="H50" s="51" t="s">
        <v>31</v>
      </c>
      <c r="I50" s="7"/>
      <c r="J50" s="7"/>
      <c r="K50" s="3"/>
    </row>
    <row r="51" spans="1:11">
      <c r="A51" s="7"/>
      <c r="B51" s="7"/>
      <c r="C51" s="7"/>
      <c r="D51" s="52"/>
      <c r="E51" s="28"/>
      <c r="F51" s="96"/>
      <c r="G51" s="28"/>
      <c r="H51" s="29"/>
      <c r="I51" s="7"/>
      <c r="J51" s="7"/>
      <c r="K51" s="3"/>
    </row>
    <row r="52" spans="1:11">
      <c r="A52" s="7"/>
      <c r="B52" s="7"/>
      <c r="C52" s="7"/>
      <c r="D52" s="83" t="s">
        <v>32</v>
      </c>
      <c r="E52" s="84">
        <f>'JUL 2021'!E58</f>
        <v>417.84</v>
      </c>
      <c r="F52" s="177">
        <v>15</v>
      </c>
      <c r="G52" s="84">
        <f>'ENE 2021'!G46</f>
        <v>1008.93</v>
      </c>
      <c r="H52" s="85">
        <f>'ENE 2021'!H55</f>
        <v>32</v>
      </c>
      <c r="I52" s="7"/>
      <c r="J52" s="7"/>
      <c r="K52" s="3"/>
    </row>
    <row r="53" spans="1:11">
      <c r="A53" s="7"/>
      <c r="B53" s="7"/>
      <c r="C53" s="7"/>
      <c r="D53" s="86" t="s">
        <v>38</v>
      </c>
      <c r="E53" s="31">
        <f>'JUL 2021'!E59</f>
        <v>591.57000000000005</v>
      </c>
      <c r="F53" s="178">
        <v>22</v>
      </c>
      <c r="G53" s="31">
        <f>'FEB 2021'!G48</f>
        <v>719.82</v>
      </c>
      <c r="H53" s="32">
        <f>'FEB 2021'!H57</f>
        <v>25</v>
      </c>
      <c r="I53" s="7"/>
      <c r="J53" s="7"/>
      <c r="K53" s="3"/>
    </row>
    <row r="54" spans="1:11">
      <c r="A54" s="7"/>
      <c r="B54" s="7"/>
      <c r="C54" s="7"/>
      <c r="D54" s="88" t="s">
        <v>40</v>
      </c>
      <c r="E54" s="31">
        <f>'JUL 2021'!E60</f>
        <v>408.24</v>
      </c>
      <c r="F54" s="178">
        <v>13</v>
      </c>
      <c r="G54" s="31">
        <f>'MAR 2021'!G43</f>
        <v>815.73</v>
      </c>
      <c r="H54" s="32">
        <f>'MAR 2021'!H51</f>
        <v>26</v>
      </c>
      <c r="I54" s="7"/>
      <c r="J54" s="7"/>
      <c r="K54" s="3"/>
    </row>
    <row r="55" spans="1:11">
      <c r="A55" s="7"/>
      <c r="B55" s="7"/>
      <c r="C55" s="7"/>
      <c r="D55" s="88" t="s">
        <v>43</v>
      </c>
      <c r="E55" s="31">
        <f>'JUL 2021'!E61</f>
        <v>188.13</v>
      </c>
      <c r="F55" s="178">
        <v>6</v>
      </c>
      <c r="G55" s="36">
        <f>'ABR 2021'!G41</f>
        <v>323.73</v>
      </c>
      <c r="H55" s="32">
        <f>'ABR 2021'!H50</f>
        <v>11</v>
      </c>
      <c r="I55" s="7"/>
      <c r="J55" s="7"/>
      <c r="K55" s="3"/>
    </row>
    <row r="56" spans="1:11">
      <c r="A56" s="7"/>
      <c r="B56" s="7"/>
      <c r="C56" s="7"/>
      <c r="D56" s="86" t="s">
        <v>45</v>
      </c>
      <c r="E56" s="31">
        <f>'JUL 2021'!E62</f>
        <v>279.93</v>
      </c>
      <c r="F56" s="178">
        <v>8</v>
      </c>
      <c r="G56" s="31">
        <f>'MAY 2021'!G44</f>
        <v>142.35</v>
      </c>
      <c r="H56" s="32">
        <f>'MAY 2021'!H52</f>
        <v>6</v>
      </c>
      <c r="I56" s="7"/>
      <c r="J56" s="7"/>
      <c r="K56" s="3"/>
    </row>
    <row r="57" spans="1:11">
      <c r="A57" s="7"/>
      <c r="B57" s="7"/>
      <c r="C57" s="7"/>
      <c r="D57" s="88" t="s">
        <v>47</v>
      </c>
      <c r="E57" s="31">
        <f>'JUL 2021'!E63</f>
        <v>202.08</v>
      </c>
      <c r="F57" s="178">
        <v>7</v>
      </c>
      <c r="G57" s="36">
        <f>'JUN 2021'!G33</f>
        <v>189.81</v>
      </c>
      <c r="H57" s="32">
        <f>'JUN 2021'!H42</f>
        <v>6</v>
      </c>
      <c r="I57" s="7"/>
      <c r="J57" s="7"/>
      <c r="K57" s="3"/>
    </row>
    <row r="58" spans="1:11">
      <c r="A58" s="7"/>
      <c r="B58" s="7"/>
      <c r="C58" s="7"/>
      <c r="D58" s="88" t="s">
        <v>55</v>
      </c>
      <c r="E58" s="31">
        <f>'JUL 2021'!E64</f>
        <v>178.92</v>
      </c>
      <c r="F58" s="178">
        <v>6</v>
      </c>
      <c r="G58" s="36">
        <f>'JUL 2021'!G33</f>
        <v>288.27</v>
      </c>
      <c r="H58" s="32">
        <f>'JUL 2021'!H42</f>
        <v>7</v>
      </c>
      <c r="I58" s="7"/>
      <c r="J58" s="7"/>
      <c r="K58" s="3"/>
    </row>
    <row r="59" spans="1:11">
      <c r="A59" s="7"/>
      <c r="B59" s="7"/>
      <c r="C59" s="7"/>
      <c r="D59" s="87" t="s">
        <v>59</v>
      </c>
      <c r="E59" s="34">
        <v>155.82</v>
      </c>
      <c r="F59" s="180">
        <v>6</v>
      </c>
      <c r="G59" s="89">
        <f>G32</f>
        <v>642.03</v>
      </c>
      <c r="H59" s="35">
        <f>H40</f>
        <v>12</v>
      </c>
      <c r="I59" s="7"/>
      <c r="J59" s="7"/>
      <c r="K59" s="3"/>
    </row>
    <row r="60" spans="1:11">
      <c r="A60" s="7"/>
      <c r="B60" s="7"/>
      <c r="C60" s="7"/>
      <c r="D60" s="7"/>
      <c r="E60" s="7"/>
      <c r="F60" s="7"/>
      <c r="G60" s="7"/>
      <c r="H60" s="7"/>
      <c r="I60" s="7"/>
      <c r="J60" s="7"/>
      <c r="K60" s="3"/>
    </row>
    <row r="61" spans="1:11">
      <c r="A61" s="7"/>
      <c r="B61" s="7"/>
      <c r="C61" s="7"/>
      <c r="D61" s="7"/>
      <c r="E61" s="58">
        <f>SUM(E52:E59)</f>
        <v>2422.5300000000007</v>
      </c>
      <c r="F61" s="59">
        <f>SUM(F52:F60)</f>
        <v>83</v>
      </c>
      <c r="G61" s="58">
        <f>SUM(G52:G59)</f>
        <v>4130.67</v>
      </c>
      <c r="H61" s="59">
        <f>SUM(H52:H59)</f>
        <v>125</v>
      </c>
      <c r="I61" s="7"/>
      <c r="J61" s="7"/>
      <c r="K61" s="3"/>
    </row>
    <row r="62" spans="1:11">
      <c r="A62" s="7"/>
      <c r="B62" s="7"/>
      <c r="C62" s="7"/>
      <c r="D62" s="7"/>
      <c r="E62" s="7"/>
      <c r="F62" s="7"/>
      <c r="G62" s="7"/>
      <c r="H62" s="7"/>
      <c r="I62" s="7"/>
      <c r="J62" s="7"/>
    </row>
    <row r="63" spans="1:11">
      <c r="A63" s="7"/>
      <c r="B63" s="7"/>
      <c r="C63" s="7"/>
      <c r="D63" s="7"/>
      <c r="E63" s="7"/>
      <c r="F63" s="7"/>
      <c r="G63" s="7"/>
      <c r="H63" s="7"/>
      <c r="I63" s="7"/>
      <c r="J63" s="7"/>
    </row>
    <row r="64" spans="1:11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>
      <c r="A75" s="3"/>
      <c r="B75" s="3"/>
      <c r="C75" s="3"/>
      <c r="D75" s="3"/>
      <c r="E75" s="3"/>
      <c r="F75" s="3"/>
      <c r="G75" s="3"/>
      <c r="H75" s="3"/>
      <c r="I75" s="3"/>
      <c r="J75" s="3"/>
    </row>
  </sheetData>
  <mergeCells count="84">
    <mergeCell ref="F11:G11"/>
    <mergeCell ref="H11:J11"/>
    <mergeCell ref="D12:E12"/>
    <mergeCell ref="C34:D34"/>
    <mergeCell ref="C39:D39"/>
    <mergeCell ref="E39:F39"/>
    <mergeCell ref="F13:G13"/>
    <mergeCell ref="H13:J13"/>
    <mergeCell ref="F14:G14"/>
    <mergeCell ref="H14:J14"/>
    <mergeCell ref="D15:E15"/>
    <mergeCell ref="F15:G15"/>
    <mergeCell ref="H15:J15"/>
    <mergeCell ref="H18:J18"/>
    <mergeCell ref="D19:E19"/>
    <mergeCell ref="F19:G19"/>
    <mergeCell ref="E7:H7"/>
    <mergeCell ref="F26:G26"/>
    <mergeCell ref="H26:J26"/>
    <mergeCell ref="D28:E28"/>
    <mergeCell ref="F28:G28"/>
    <mergeCell ref="H28:J28"/>
    <mergeCell ref="H27:J27"/>
    <mergeCell ref="D26:E26"/>
    <mergeCell ref="D14:E14"/>
    <mergeCell ref="D10:E10"/>
    <mergeCell ref="F10:G10"/>
    <mergeCell ref="H10:J10"/>
    <mergeCell ref="D11:E11"/>
    <mergeCell ref="F12:G12"/>
    <mergeCell ref="H12:J12"/>
    <mergeCell ref="D13:E13"/>
    <mergeCell ref="E49:F49"/>
    <mergeCell ref="G49:H49"/>
    <mergeCell ref="C35:D35"/>
    <mergeCell ref="E37:F37"/>
    <mergeCell ref="E40:F40"/>
    <mergeCell ref="C42:E42"/>
    <mergeCell ref="F42:G42"/>
    <mergeCell ref="C43:E43"/>
    <mergeCell ref="C44:E44"/>
    <mergeCell ref="F45:G45"/>
    <mergeCell ref="C38:D38"/>
    <mergeCell ref="E38:F38"/>
    <mergeCell ref="E47:H47"/>
    <mergeCell ref="C37:D37"/>
    <mergeCell ref="H19:J19"/>
    <mergeCell ref="D16:E16"/>
    <mergeCell ref="F16:G16"/>
    <mergeCell ref="H16:J16"/>
    <mergeCell ref="D17:E17"/>
    <mergeCell ref="F17:G17"/>
    <mergeCell ref="H17:J17"/>
    <mergeCell ref="F23:G23"/>
    <mergeCell ref="D22:E22"/>
    <mergeCell ref="D23:E23"/>
    <mergeCell ref="D18:E18"/>
    <mergeCell ref="F18:G18"/>
    <mergeCell ref="D20:E20"/>
    <mergeCell ref="D21:E21"/>
    <mergeCell ref="F20:G20"/>
    <mergeCell ref="F21:G21"/>
    <mergeCell ref="F22:G22"/>
    <mergeCell ref="H20:J20"/>
    <mergeCell ref="H21:J21"/>
    <mergeCell ref="H22:J22"/>
    <mergeCell ref="H23:J23"/>
    <mergeCell ref="H24:J24"/>
    <mergeCell ref="F24:G24"/>
    <mergeCell ref="D25:E25"/>
    <mergeCell ref="F25:G25"/>
    <mergeCell ref="H25:J25"/>
    <mergeCell ref="C36:D36"/>
    <mergeCell ref="E36:F36"/>
    <mergeCell ref="E35:F35"/>
    <mergeCell ref="D29:E29"/>
    <mergeCell ref="F29:G29"/>
    <mergeCell ref="H29:J29"/>
    <mergeCell ref="D27:E27"/>
    <mergeCell ref="F27:G27"/>
    <mergeCell ref="D24:E24"/>
    <mergeCell ref="F30:G30"/>
    <mergeCell ref="E34:F34"/>
    <mergeCell ref="D32:E32"/>
  </mergeCells>
  <phoneticPr fontId="0" type="noConversion"/>
  <pageMargins left="0.59055118110236227" right="0.75" top="1" bottom="1" header="0" footer="0"/>
  <pageSetup paperSize="9" scale="68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96"/>
  <sheetViews>
    <sheetView topLeftCell="A3" zoomScaleNormal="100" workbookViewId="0">
      <selection activeCell="B18" sqref="B18"/>
    </sheetView>
  </sheetViews>
  <sheetFormatPr defaultColWidth="9.140625" defaultRowHeight="12.75"/>
  <cols>
    <col min="1" max="2" width="4.28515625" customWidth="1"/>
    <col min="3" max="10" width="12.42578125" customWidth="1"/>
    <col min="11" max="256" width="11.42578125" customWidth="1"/>
  </cols>
  <sheetData>
    <row r="1" spans="1:11">
      <c r="A1" s="3"/>
      <c r="B1" s="3"/>
      <c r="C1" s="4"/>
      <c r="D1" s="4"/>
      <c r="E1" s="4"/>
      <c r="F1" s="4"/>
      <c r="G1" s="4"/>
      <c r="H1" s="4"/>
      <c r="I1" s="4"/>
      <c r="J1" s="4"/>
      <c r="K1" s="3"/>
    </row>
    <row r="2" spans="1:11">
      <c r="A2" s="5"/>
      <c r="B2" s="5"/>
      <c r="C2" s="3"/>
      <c r="D2" s="3"/>
      <c r="E2" s="3"/>
      <c r="F2" s="3"/>
      <c r="G2" s="3"/>
      <c r="H2" s="3"/>
      <c r="I2" s="3"/>
      <c r="J2" s="3"/>
      <c r="K2" s="3"/>
    </row>
    <row r="3" spans="1:11">
      <c r="A3" s="5"/>
      <c r="B3" s="5"/>
      <c r="C3" s="3"/>
      <c r="D3" s="3"/>
      <c r="E3" s="3"/>
      <c r="F3" s="3"/>
      <c r="G3" s="3"/>
      <c r="H3" s="3"/>
      <c r="I3" s="3"/>
      <c r="J3" s="3"/>
      <c r="K3" s="3"/>
    </row>
    <row r="4" spans="1:11">
      <c r="A4" s="6"/>
      <c r="B4" s="6"/>
      <c r="C4" s="3"/>
      <c r="D4" s="3"/>
      <c r="E4" s="3"/>
      <c r="F4" s="3"/>
      <c r="G4" s="3"/>
      <c r="H4" s="3"/>
      <c r="I4" s="3"/>
      <c r="J4" s="3"/>
      <c r="K4" s="3"/>
    </row>
    <row r="5" spans="1:11">
      <c r="A5" s="5"/>
      <c r="B5" s="5"/>
      <c r="C5" s="3"/>
      <c r="D5" s="3"/>
      <c r="E5" s="3"/>
      <c r="F5" s="3"/>
      <c r="G5" s="3"/>
      <c r="H5" s="3"/>
      <c r="I5" s="3"/>
      <c r="J5" s="3"/>
      <c r="K5" s="3"/>
    </row>
    <row r="6" spans="1:11">
      <c r="A6" s="6"/>
      <c r="B6" s="6"/>
      <c r="C6" s="3"/>
      <c r="D6" s="3"/>
      <c r="E6" s="3"/>
      <c r="F6" s="3"/>
      <c r="G6" s="3"/>
      <c r="H6" s="3"/>
      <c r="I6" s="3"/>
      <c r="J6" s="3"/>
      <c r="K6" s="3"/>
    </row>
    <row r="7" spans="1:11">
      <c r="A7" s="6"/>
      <c r="B7" s="6"/>
      <c r="C7" s="3"/>
      <c r="D7" s="3"/>
      <c r="E7" s="284" t="s">
        <v>1</v>
      </c>
      <c r="F7" s="284"/>
      <c r="G7" s="284"/>
      <c r="H7" s="284"/>
      <c r="I7" s="237" t="s">
        <v>60</v>
      </c>
      <c r="J7" s="226">
        <f>CARÁTULA!$F$16</f>
        <v>2021</v>
      </c>
      <c r="K7" s="3"/>
    </row>
    <row r="8" spans="1:11">
      <c r="A8" s="6"/>
      <c r="B8" s="6"/>
      <c r="C8" s="3"/>
      <c r="D8" s="3"/>
      <c r="E8" s="3"/>
      <c r="F8" s="3"/>
      <c r="G8" s="3"/>
      <c r="H8" s="3"/>
      <c r="I8" s="3"/>
      <c r="J8" s="3"/>
      <c r="K8" s="3"/>
    </row>
    <row r="9" spans="1:11">
      <c r="A9" s="7"/>
      <c r="B9" s="7"/>
      <c r="C9" s="8"/>
      <c r="D9" s="8"/>
      <c r="E9" s="7"/>
      <c r="F9" s="8"/>
      <c r="G9" s="8"/>
      <c r="H9" s="8"/>
      <c r="I9" s="7"/>
      <c r="J9" s="7"/>
      <c r="K9" s="3"/>
    </row>
    <row r="10" spans="1:11">
      <c r="A10" s="9"/>
      <c r="B10" s="241" t="s">
        <v>3</v>
      </c>
      <c r="C10" s="241" t="s">
        <v>4</v>
      </c>
      <c r="D10" s="267" t="s">
        <v>5</v>
      </c>
      <c r="E10" s="267"/>
      <c r="F10" s="267" t="s">
        <v>6</v>
      </c>
      <c r="G10" s="267"/>
      <c r="H10" s="267" t="s">
        <v>7</v>
      </c>
      <c r="I10" s="267"/>
      <c r="J10" s="267"/>
      <c r="K10" s="3"/>
    </row>
    <row r="11" spans="1:11">
      <c r="A11" s="9"/>
      <c r="B11" s="9">
        <v>146</v>
      </c>
      <c r="C11" s="42">
        <v>44439</v>
      </c>
      <c r="D11" s="334" t="s">
        <v>11</v>
      </c>
      <c r="E11" s="334"/>
      <c r="F11" s="269">
        <v>73710</v>
      </c>
      <c r="G11" s="269"/>
      <c r="H11" s="266" t="s">
        <v>42</v>
      </c>
      <c r="I11" s="266"/>
      <c r="J11" s="266"/>
      <c r="K11" s="3"/>
    </row>
    <row r="12" spans="1:11">
      <c r="A12" s="9"/>
      <c r="B12" s="9">
        <v>147</v>
      </c>
      <c r="C12" s="42">
        <v>44445</v>
      </c>
      <c r="D12" s="335" t="s">
        <v>11</v>
      </c>
      <c r="E12" s="335"/>
      <c r="F12" s="269">
        <v>29910</v>
      </c>
      <c r="G12" s="269"/>
      <c r="H12" s="266" t="s">
        <v>42</v>
      </c>
      <c r="I12" s="266"/>
      <c r="J12" s="266"/>
      <c r="K12" s="3"/>
    </row>
    <row r="13" spans="1:11">
      <c r="A13" s="9"/>
      <c r="B13" s="9">
        <v>148</v>
      </c>
      <c r="C13" s="42">
        <v>44450</v>
      </c>
      <c r="D13" s="335" t="s">
        <v>57</v>
      </c>
      <c r="E13" s="335"/>
      <c r="F13" s="269">
        <v>58560</v>
      </c>
      <c r="G13" s="269"/>
      <c r="H13" s="300" t="s">
        <v>42</v>
      </c>
      <c r="I13" s="266"/>
      <c r="J13" s="266"/>
      <c r="K13" s="3"/>
    </row>
    <row r="14" spans="1:11">
      <c r="A14" s="9"/>
      <c r="B14" s="9">
        <v>149</v>
      </c>
      <c r="C14" s="42">
        <v>44449</v>
      </c>
      <c r="D14" s="335" t="s">
        <v>35</v>
      </c>
      <c r="E14" s="335"/>
      <c r="F14" s="269">
        <v>11040</v>
      </c>
      <c r="G14" s="269"/>
      <c r="H14" s="266" t="s">
        <v>42</v>
      </c>
      <c r="I14" s="266"/>
      <c r="J14" s="266"/>
      <c r="K14" s="3"/>
    </row>
    <row r="15" spans="1:11">
      <c r="A15" s="9"/>
      <c r="B15" s="9">
        <v>151</v>
      </c>
      <c r="C15" s="42">
        <v>44459</v>
      </c>
      <c r="D15" s="335" t="s">
        <v>8</v>
      </c>
      <c r="E15" s="335"/>
      <c r="F15" s="269">
        <v>40170</v>
      </c>
      <c r="G15" s="269"/>
      <c r="H15" s="266" t="s">
        <v>42</v>
      </c>
      <c r="I15" s="266"/>
      <c r="J15" s="266"/>
      <c r="K15" s="3"/>
    </row>
    <row r="16" spans="1:11">
      <c r="A16" s="9"/>
      <c r="B16" s="184">
        <v>152</v>
      </c>
      <c r="C16" s="42">
        <v>44463</v>
      </c>
      <c r="D16" s="335" t="s">
        <v>8</v>
      </c>
      <c r="E16" s="335"/>
      <c r="F16" s="269">
        <v>29040</v>
      </c>
      <c r="G16" s="269"/>
      <c r="H16" s="266" t="s">
        <v>42</v>
      </c>
      <c r="I16" s="266"/>
      <c r="J16" s="266"/>
      <c r="K16" s="3"/>
    </row>
    <row r="17" spans="1:11">
      <c r="A17" s="9"/>
      <c r="B17" s="9">
        <v>153</v>
      </c>
      <c r="C17" s="42">
        <v>44450</v>
      </c>
      <c r="D17" s="335" t="s">
        <v>11</v>
      </c>
      <c r="E17" s="335"/>
      <c r="F17" s="269">
        <v>45960</v>
      </c>
      <c r="G17" s="269"/>
      <c r="H17" s="266" t="s">
        <v>42</v>
      </c>
      <c r="I17" s="266"/>
      <c r="J17" s="266"/>
      <c r="K17" s="3"/>
    </row>
    <row r="18" spans="1:11">
      <c r="A18" s="9"/>
      <c r="B18" s="9"/>
      <c r="C18" s="42"/>
      <c r="D18" s="335"/>
      <c r="E18" s="335"/>
      <c r="F18" s="269"/>
      <c r="G18" s="269"/>
      <c r="H18" s="266"/>
      <c r="I18" s="266"/>
      <c r="J18" s="266"/>
      <c r="K18" s="3"/>
    </row>
    <row r="19" spans="1:11">
      <c r="A19" s="9"/>
      <c r="B19" s="9"/>
      <c r="C19" s="42"/>
      <c r="D19" s="335"/>
      <c r="E19" s="335"/>
      <c r="F19" s="269"/>
      <c r="G19" s="269"/>
      <c r="H19" s="266"/>
      <c r="I19" s="266"/>
      <c r="J19" s="266"/>
      <c r="K19" s="3"/>
    </row>
    <row r="20" spans="1:11">
      <c r="A20" s="9"/>
      <c r="B20" s="9"/>
      <c r="C20" s="42"/>
      <c r="D20" s="335"/>
      <c r="E20" s="335"/>
      <c r="F20" s="269"/>
      <c r="G20" s="269"/>
      <c r="H20" s="266"/>
      <c r="I20" s="266"/>
      <c r="J20" s="266"/>
      <c r="K20" s="3"/>
    </row>
    <row r="21" spans="1:11">
      <c r="A21" s="9"/>
      <c r="B21" s="9"/>
      <c r="C21" s="42"/>
      <c r="D21" s="335"/>
      <c r="E21" s="335"/>
      <c r="F21" s="269"/>
      <c r="G21" s="269"/>
      <c r="H21" s="266"/>
      <c r="I21" s="266"/>
      <c r="J21" s="266"/>
      <c r="K21" s="3"/>
    </row>
    <row r="22" spans="1:11">
      <c r="A22" s="9"/>
      <c r="B22" s="9"/>
      <c r="C22" s="42"/>
      <c r="D22" s="335"/>
      <c r="E22" s="335"/>
      <c r="F22" s="269"/>
      <c r="G22" s="269"/>
      <c r="H22" s="266"/>
      <c r="I22" s="266"/>
      <c r="J22" s="266"/>
      <c r="K22" s="3"/>
    </row>
    <row r="23" spans="1:11">
      <c r="A23" s="9"/>
      <c r="B23" s="9"/>
      <c r="C23" s="42"/>
      <c r="D23" s="335"/>
      <c r="E23" s="335"/>
      <c r="F23" s="269"/>
      <c r="G23" s="269"/>
      <c r="H23" s="266"/>
      <c r="I23" s="266"/>
      <c r="J23" s="266"/>
      <c r="K23" s="3"/>
    </row>
    <row r="24" spans="1:11">
      <c r="A24" s="9"/>
      <c r="B24" s="9"/>
      <c r="C24" s="42"/>
      <c r="D24" s="335"/>
      <c r="E24" s="335"/>
      <c r="F24" s="269"/>
      <c r="G24" s="269"/>
      <c r="H24" s="266"/>
      <c r="I24" s="266"/>
      <c r="J24" s="266"/>
      <c r="K24" s="3"/>
    </row>
    <row r="25" spans="1:11">
      <c r="A25" s="9"/>
      <c r="B25" s="9"/>
      <c r="C25" s="42"/>
      <c r="D25" s="335"/>
      <c r="E25" s="335"/>
      <c r="F25" s="269"/>
      <c r="G25" s="269"/>
      <c r="H25" s="266"/>
      <c r="I25" s="266"/>
      <c r="J25" s="266"/>
      <c r="K25" s="3"/>
    </row>
    <row r="26" spans="1:11">
      <c r="A26" s="9"/>
      <c r="B26" s="9"/>
      <c r="C26" s="42"/>
      <c r="D26" s="335"/>
      <c r="E26" s="335"/>
      <c r="F26" s="269"/>
      <c r="G26" s="269"/>
      <c r="H26" s="266"/>
      <c r="I26" s="266"/>
      <c r="J26" s="266"/>
      <c r="K26" s="3"/>
    </row>
    <row r="27" spans="1:11">
      <c r="A27" s="9"/>
      <c r="B27" s="9"/>
      <c r="C27" s="42"/>
      <c r="D27" s="335"/>
      <c r="E27" s="335"/>
      <c r="F27" s="269"/>
      <c r="G27" s="269"/>
      <c r="H27" s="266"/>
      <c r="I27" s="266"/>
      <c r="J27" s="266"/>
      <c r="K27" s="3"/>
    </row>
    <row r="28" spans="1:11">
      <c r="A28" s="9"/>
      <c r="B28" s="9"/>
      <c r="C28" s="42"/>
      <c r="D28" s="335"/>
      <c r="E28" s="335"/>
      <c r="F28" s="269"/>
      <c r="G28" s="269"/>
      <c r="H28" s="266"/>
      <c r="I28" s="266"/>
      <c r="J28" s="266"/>
      <c r="K28" s="3"/>
    </row>
    <row r="29" spans="1:11">
      <c r="A29" s="9"/>
      <c r="B29" s="9"/>
      <c r="C29" s="42"/>
      <c r="D29" s="335"/>
      <c r="E29" s="335"/>
      <c r="F29" s="269"/>
      <c r="G29" s="269"/>
      <c r="H29" s="266"/>
      <c r="I29" s="266"/>
      <c r="J29" s="266"/>
      <c r="K29" s="3"/>
    </row>
    <row r="30" spans="1:11">
      <c r="A30" s="9"/>
      <c r="B30" s="9"/>
      <c r="C30" s="42"/>
      <c r="D30" s="335"/>
      <c r="E30" s="335"/>
      <c r="F30" s="269"/>
      <c r="G30" s="269"/>
      <c r="H30" s="266"/>
      <c r="I30" s="266"/>
      <c r="J30" s="266"/>
      <c r="K30" s="3"/>
    </row>
    <row r="31" spans="1:11">
      <c r="A31" s="9"/>
      <c r="B31" s="244"/>
      <c r="C31" s="123"/>
      <c r="D31" s="339"/>
      <c r="E31" s="339"/>
      <c r="F31" s="297"/>
      <c r="G31" s="297"/>
      <c r="H31" s="298"/>
      <c r="I31" s="298"/>
      <c r="J31" s="298"/>
      <c r="K31" s="3"/>
    </row>
    <row r="32" spans="1:11">
      <c r="A32" s="9"/>
      <c r="B32" s="244"/>
      <c r="C32" s="123"/>
      <c r="D32" s="339"/>
      <c r="E32" s="339"/>
      <c r="F32" s="297"/>
      <c r="G32" s="297"/>
      <c r="H32" s="298"/>
      <c r="I32" s="298"/>
      <c r="J32" s="298"/>
      <c r="K32" s="3"/>
    </row>
    <row r="33" spans="1:11">
      <c r="A33" s="9"/>
      <c r="B33" s="244"/>
      <c r="C33" s="123"/>
      <c r="D33" s="339"/>
      <c r="E33" s="339"/>
      <c r="F33" s="297"/>
      <c r="G33" s="297"/>
      <c r="H33" s="298"/>
      <c r="I33" s="298"/>
      <c r="J33" s="298"/>
      <c r="K33" s="3"/>
    </row>
    <row r="34" spans="1:11">
      <c r="A34" s="9"/>
      <c r="B34" s="244"/>
      <c r="C34" s="123"/>
      <c r="D34" s="339"/>
      <c r="E34" s="339"/>
      <c r="F34" s="297"/>
      <c r="G34" s="297"/>
      <c r="H34" s="298"/>
      <c r="I34" s="298"/>
      <c r="J34" s="298"/>
      <c r="K34" s="3"/>
    </row>
    <row r="35" spans="1:11">
      <c r="A35" s="9"/>
      <c r="B35" s="244"/>
      <c r="C35" s="123"/>
      <c r="D35" s="298"/>
      <c r="E35" s="298"/>
      <c r="F35" s="297"/>
      <c r="G35" s="297"/>
      <c r="H35" s="298"/>
      <c r="I35" s="298"/>
      <c r="J35" s="298"/>
      <c r="K35" s="3"/>
    </row>
    <row r="36" spans="1:11">
      <c r="A36" s="9"/>
      <c r="B36" s="244"/>
      <c r="C36" s="123"/>
      <c r="D36" s="298"/>
      <c r="E36" s="298"/>
      <c r="F36" s="297"/>
      <c r="G36" s="297"/>
      <c r="H36" s="298"/>
      <c r="I36" s="298"/>
      <c r="J36" s="298"/>
      <c r="K36" s="3"/>
    </row>
    <row r="37" spans="1:11">
      <c r="A37" s="9"/>
      <c r="B37" s="244"/>
      <c r="C37" s="123"/>
      <c r="D37" s="339"/>
      <c r="E37" s="339"/>
      <c r="F37" s="297"/>
      <c r="G37" s="297"/>
      <c r="H37" s="298"/>
      <c r="I37" s="298"/>
      <c r="J37" s="298"/>
      <c r="K37" s="3"/>
    </row>
    <row r="38" spans="1:11">
      <c r="A38" s="9"/>
      <c r="B38" s="244"/>
      <c r="C38" s="123"/>
      <c r="D38" s="298"/>
      <c r="E38" s="298"/>
      <c r="F38" s="297"/>
      <c r="G38" s="297"/>
      <c r="H38" s="298"/>
      <c r="I38" s="298"/>
      <c r="J38" s="298"/>
      <c r="K38" s="3"/>
    </row>
    <row r="39" spans="1:11">
      <c r="A39" s="9"/>
      <c r="B39" s="244"/>
      <c r="C39" s="123"/>
      <c r="D39" s="298"/>
      <c r="E39" s="298"/>
      <c r="F39" s="297"/>
      <c r="G39" s="297"/>
      <c r="H39" s="298"/>
      <c r="I39" s="298"/>
      <c r="J39" s="298"/>
      <c r="K39" s="3"/>
    </row>
    <row r="40" spans="1:11">
      <c r="A40" s="9"/>
      <c r="B40" s="244"/>
      <c r="C40" s="123"/>
      <c r="D40" s="298"/>
      <c r="E40" s="298"/>
      <c r="F40" s="299"/>
      <c r="G40" s="299"/>
      <c r="H40" s="298"/>
      <c r="I40" s="298"/>
      <c r="J40" s="298"/>
      <c r="K40" s="3"/>
    </row>
    <row r="41" spans="1:11">
      <c r="A41" s="9"/>
      <c r="B41" s="9"/>
      <c r="C41" s="11"/>
      <c r="D41" s="10"/>
      <c r="E41" s="10"/>
      <c r="F41" s="280">
        <f>SUM(F11:G40)</f>
        <v>288390</v>
      </c>
      <c r="G41" s="281"/>
      <c r="H41" s="18"/>
      <c r="I41" s="18"/>
      <c r="J41" s="18"/>
      <c r="K41" s="3"/>
    </row>
    <row r="42" spans="1:11">
      <c r="A42" s="9"/>
      <c r="B42" s="9"/>
      <c r="C42" s="7"/>
      <c r="D42" s="7"/>
      <c r="E42" s="13"/>
      <c r="F42" s="7"/>
      <c r="G42" s="7"/>
      <c r="H42" s="7"/>
      <c r="I42" s="7"/>
      <c r="J42" s="7"/>
      <c r="K42" s="3"/>
    </row>
    <row r="43" spans="1:11">
      <c r="A43" s="9"/>
      <c r="B43" s="9"/>
      <c r="C43" s="7"/>
      <c r="D43" s="282" t="s">
        <v>15</v>
      </c>
      <c r="E43" s="282"/>
      <c r="F43" s="7"/>
      <c r="G43" s="41">
        <f>F41/1000</f>
        <v>288.39</v>
      </c>
      <c r="H43" s="7"/>
      <c r="I43" s="7"/>
      <c r="J43" s="7"/>
      <c r="K43" s="3"/>
    </row>
    <row r="44" spans="1:11">
      <c r="A44" s="9"/>
      <c r="B44" s="9"/>
      <c r="C44" s="7"/>
      <c r="D44" s="7"/>
      <c r="E44" s="13"/>
      <c r="F44" s="7"/>
      <c r="G44" s="7"/>
      <c r="H44" s="7"/>
      <c r="I44" s="7"/>
      <c r="J44" s="7"/>
      <c r="K44" s="3"/>
    </row>
    <row r="45" spans="1:11">
      <c r="A45" s="9"/>
      <c r="B45" s="9"/>
      <c r="C45" s="7"/>
      <c r="D45" s="7"/>
      <c r="E45" s="13"/>
      <c r="F45" s="7"/>
      <c r="G45" s="7"/>
      <c r="H45" s="7"/>
      <c r="I45" s="7"/>
      <c r="J45" s="7"/>
      <c r="K45" s="3"/>
    </row>
    <row r="46" spans="1:11">
      <c r="A46" s="9"/>
      <c r="B46" s="9"/>
      <c r="C46" s="7"/>
      <c r="D46" s="7"/>
      <c r="E46" s="7"/>
      <c r="F46" s="7"/>
      <c r="G46" s="7"/>
      <c r="H46" s="7"/>
      <c r="I46" s="7"/>
      <c r="J46" s="7"/>
      <c r="K46" s="3"/>
    </row>
    <row r="47" spans="1:11">
      <c r="A47" s="9"/>
      <c r="B47" s="9"/>
      <c r="C47" s="267" t="s">
        <v>16</v>
      </c>
      <c r="D47" s="267"/>
      <c r="E47" s="267" t="s">
        <v>17</v>
      </c>
      <c r="F47" s="267"/>
      <c r="G47" s="241" t="s">
        <v>18</v>
      </c>
      <c r="H47" s="241" t="s">
        <v>19</v>
      </c>
      <c r="I47" s="7"/>
      <c r="J47" s="7"/>
      <c r="K47" s="3"/>
    </row>
    <row r="48" spans="1:11">
      <c r="A48" s="9"/>
      <c r="B48" s="9"/>
      <c r="C48" s="266" t="s">
        <v>61</v>
      </c>
      <c r="D48" s="266"/>
      <c r="E48" s="336">
        <v>0</v>
      </c>
      <c r="F48" s="336"/>
      <c r="G48" s="43">
        <f>+E48/E53</f>
        <v>0</v>
      </c>
      <c r="H48" s="45">
        <v>0</v>
      </c>
      <c r="I48" s="7"/>
      <c r="J48" s="7"/>
      <c r="K48" s="3"/>
    </row>
    <row r="49" spans="1:11">
      <c r="A49" s="9"/>
      <c r="B49" s="9"/>
      <c r="C49" s="266" t="s">
        <v>53</v>
      </c>
      <c r="D49" s="266"/>
      <c r="E49" s="336">
        <f>F15+F16</f>
        <v>69210</v>
      </c>
      <c r="F49" s="336"/>
      <c r="G49" s="43">
        <f>+E49/E53</f>
        <v>0.23998751690419223</v>
      </c>
      <c r="H49" s="45">
        <v>2</v>
      </c>
      <c r="I49" s="7"/>
      <c r="J49" s="7"/>
      <c r="K49" s="3"/>
    </row>
    <row r="50" spans="1:11">
      <c r="A50" s="9"/>
      <c r="B50" s="9"/>
      <c r="C50" s="266" t="s">
        <v>54</v>
      </c>
      <c r="D50" s="266"/>
      <c r="E50" s="336">
        <f>F11+F12+F17</f>
        <v>149580</v>
      </c>
      <c r="F50" s="336"/>
      <c r="G50" s="43">
        <f>+E50/E53</f>
        <v>0.51867263081244153</v>
      </c>
      <c r="H50" s="45">
        <v>3</v>
      </c>
      <c r="I50" s="7"/>
      <c r="J50" s="7"/>
      <c r="K50" s="3"/>
    </row>
    <row r="51" spans="1:11">
      <c r="A51" s="9"/>
      <c r="B51" s="9"/>
      <c r="C51" s="266" t="s">
        <v>58</v>
      </c>
      <c r="D51" s="266"/>
      <c r="E51" s="336">
        <f>F13</f>
        <v>58560</v>
      </c>
      <c r="F51" s="336"/>
      <c r="G51" s="43">
        <f>+E51/E53</f>
        <v>0.20305835847290127</v>
      </c>
      <c r="H51" s="45">
        <v>1</v>
      </c>
      <c r="I51" s="7"/>
      <c r="J51" s="7"/>
      <c r="K51" s="3"/>
    </row>
    <row r="52" spans="1:11">
      <c r="A52" s="9"/>
      <c r="B52" s="9"/>
      <c r="C52" s="266" t="s">
        <v>21</v>
      </c>
      <c r="D52" s="266"/>
      <c r="E52" s="269">
        <f>F14</f>
        <v>11040</v>
      </c>
      <c r="F52" s="269"/>
      <c r="G52" s="43">
        <f>+E52/E53</f>
        <v>3.8281493810464993E-2</v>
      </c>
      <c r="H52" s="45">
        <v>1</v>
      </c>
      <c r="I52" s="7"/>
      <c r="J52" s="7"/>
      <c r="K52" s="3"/>
    </row>
    <row r="53" spans="1:11">
      <c r="A53" s="9"/>
      <c r="B53" s="9"/>
      <c r="C53" s="14"/>
      <c r="D53" s="238" t="s">
        <v>24</v>
      </c>
      <c r="E53" s="337">
        <f>SUM(E48:F52)</f>
        <v>288390</v>
      </c>
      <c r="F53" s="337"/>
      <c r="G53" s="44">
        <f>SUM(G48:G52)</f>
        <v>1</v>
      </c>
      <c r="H53" s="46">
        <f>SUM(H48:H52)</f>
        <v>7</v>
      </c>
      <c r="I53" s="7"/>
      <c r="J53" s="7"/>
      <c r="K53" s="3"/>
    </row>
    <row r="54" spans="1:11">
      <c r="A54" s="9"/>
      <c r="B54" s="9"/>
      <c r="C54" s="15"/>
      <c r="D54" s="15"/>
      <c r="E54" s="10"/>
      <c r="F54" s="10"/>
      <c r="G54" s="10"/>
      <c r="H54" s="7"/>
      <c r="I54" s="7"/>
      <c r="J54" s="7"/>
      <c r="K54" s="3"/>
    </row>
    <row r="55" spans="1:11">
      <c r="A55" s="9"/>
      <c r="B55" s="9"/>
      <c r="C55" s="7"/>
      <c r="D55" s="7"/>
      <c r="E55" s="12"/>
      <c r="F55" s="16"/>
      <c r="G55" s="17"/>
      <c r="H55" s="7"/>
      <c r="I55" s="7"/>
      <c r="J55" s="7"/>
      <c r="K55" s="3"/>
    </row>
    <row r="56" spans="1:11">
      <c r="A56" s="9"/>
      <c r="B56" s="9"/>
      <c r="C56" s="40"/>
      <c r="D56" s="7"/>
      <c r="E56" s="12"/>
      <c r="F56" s="16"/>
      <c r="G56" s="17"/>
      <c r="H56" s="7"/>
      <c r="I56" s="7"/>
      <c r="J56" s="7"/>
      <c r="K56" s="3"/>
    </row>
    <row r="57" spans="1:11">
      <c r="A57" s="9"/>
      <c r="B57" s="9"/>
      <c r="C57" s="270" t="s">
        <v>7</v>
      </c>
      <c r="D57" s="271"/>
      <c r="E57" s="272"/>
      <c r="F57" s="273" t="s">
        <v>6</v>
      </c>
      <c r="G57" s="267"/>
      <c r="H57" s="241" t="s">
        <v>18</v>
      </c>
      <c r="I57" s="7"/>
      <c r="J57" s="7"/>
      <c r="K57" s="3"/>
    </row>
    <row r="58" spans="1:11">
      <c r="A58" s="9"/>
      <c r="B58" s="9"/>
      <c r="C58" s="266" t="s">
        <v>25</v>
      </c>
      <c r="D58" s="266"/>
      <c r="E58" s="266"/>
      <c r="F58" s="236"/>
      <c r="G58" s="236">
        <v>0</v>
      </c>
      <c r="H58" s="43">
        <f>+G58/F60</f>
        <v>0</v>
      </c>
      <c r="I58" s="7"/>
      <c r="J58" s="7"/>
      <c r="K58" s="3"/>
    </row>
    <row r="59" spans="1:11">
      <c r="A59" s="9"/>
      <c r="B59" s="9"/>
      <c r="C59" s="266" t="s">
        <v>26</v>
      </c>
      <c r="D59" s="266"/>
      <c r="E59" s="266"/>
      <c r="F59" s="269">
        <f>F41</f>
        <v>288390</v>
      </c>
      <c r="G59" s="269"/>
      <c r="H59" s="43">
        <f>+F59/F60</f>
        <v>1</v>
      </c>
      <c r="I59" s="7"/>
      <c r="J59" s="7"/>
      <c r="K59" s="3"/>
    </row>
    <row r="60" spans="1:11">
      <c r="A60" s="9"/>
      <c r="B60" s="9"/>
      <c r="C60" s="7"/>
      <c r="D60" s="7" t="s">
        <v>24</v>
      </c>
      <c r="E60" s="7"/>
      <c r="F60" s="277">
        <f>SUM(F58:G59)</f>
        <v>288390</v>
      </c>
      <c r="G60" s="277"/>
      <c r="H60" s="44">
        <f>SUM(H58:H59)</f>
        <v>1</v>
      </c>
      <c r="I60" s="7"/>
      <c r="J60" s="7"/>
      <c r="K60" s="3"/>
    </row>
    <row r="61" spans="1:11">
      <c r="A61" s="9"/>
      <c r="B61" s="9"/>
      <c r="C61" s="7"/>
      <c r="D61" s="7"/>
      <c r="E61" s="7"/>
      <c r="F61" s="47"/>
      <c r="G61" s="47"/>
      <c r="H61" s="49"/>
      <c r="I61" s="7"/>
      <c r="J61" s="7"/>
      <c r="K61" s="3"/>
    </row>
    <row r="62" spans="1:11">
      <c r="A62" s="9"/>
      <c r="B62" s="9"/>
      <c r="C62" s="7"/>
      <c r="D62" s="7"/>
      <c r="E62" s="7"/>
      <c r="F62" s="47"/>
      <c r="G62" s="47"/>
      <c r="H62" s="49"/>
      <c r="I62" s="7"/>
      <c r="J62" s="7"/>
      <c r="K62" s="3"/>
    </row>
    <row r="63" spans="1:11">
      <c r="A63" s="9"/>
      <c r="B63" s="9"/>
      <c r="C63" s="7"/>
      <c r="D63" s="3"/>
      <c r="E63" s="3"/>
      <c r="F63" s="3"/>
      <c r="G63" s="3"/>
      <c r="H63" s="239"/>
      <c r="I63" s="7"/>
      <c r="J63" s="7"/>
      <c r="K63" s="3"/>
    </row>
    <row r="64" spans="1:11">
      <c r="A64" s="9"/>
      <c r="B64" s="9"/>
      <c r="C64" s="7"/>
      <c r="D64" s="3"/>
      <c r="E64" s="3"/>
      <c r="F64" s="3"/>
      <c r="G64" s="3"/>
      <c r="H64" s="7"/>
      <c r="I64" s="7"/>
      <c r="J64" s="7"/>
      <c r="K64" s="3"/>
    </row>
    <row r="65" spans="1:11">
      <c r="A65" s="9"/>
      <c r="B65" s="9"/>
      <c r="C65" s="7"/>
      <c r="D65" s="3"/>
      <c r="E65" s="3"/>
      <c r="F65" s="3"/>
      <c r="G65" s="3"/>
      <c r="H65" s="50"/>
      <c r="I65" s="7"/>
      <c r="J65" s="7"/>
      <c r="K65" s="3"/>
    </row>
    <row r="66" spans="1:11">
      <c r="A66" s="9"/>
      <c r="B66" s="9"/>
      <c r="C66" s="7"/>
      <c r="D66" s="36"/>
      <c r="E66" s="37"/>
      <c r="F66" s="3"/>
      <c r="G66" s="3"/>
      <c r="H66" s="7"/>
      <c r="I66" s="7"/>
      <c r="J66" s="7"/>
      <c r="K66" s="3"/>
    </row>
    <row r="67" spans="1:11">
      <c r="A67" s="9"/>
      <c r="B67" s="9"/>
      <c r="C67" s="7"/>
      <c r="D67" s="3"/>
      <c r="E67" s="278" t="s">
        <v>27</v>
      </c>
      <c r="F67" s="278"/>
      <c r="G67" s="278"/>
      <c r="H67" s="278"/>
      <c r="I67" s="7"/>
      <c r="J67" s="7"/>
      <c r="K67" s="3"/>
    </row>
    <row r="68" spans="1:11">
      <c r="A68" s="9"/>
      <c r="B68" s="9"/>
      <c r="C68" s="7"/>
      <c r="D68" s="56"/>
      <c r="E68" s="7"/>
      <c r="F68" s="7"/>
      <c r="G68" s="7"/>
      <c r="H68" s="7"/>
      <c r="I68" s="7"/>
      <c r="J68" s="7"/>
      <c r="K68" s="3"/>
    </row>
    <row r="69" spans="1:11">
      <c r="A69" s="7"/>
      <c r="B69" s="7"/>
      <c r="C69" s="7"/>
      <c r="D69" s="55" t="s">
        <v>28</v>
      </c>
      <c r="E69" s="275">
        <v>2020</v>
      </c>
      <c r="F69" s="276"/>
      <c r="G69" s="275">
        <v>2021</v>
      </c>
      <c r="H69" s="276"/>
      <c r="I69" s="7"/>
      <c r="J69" s="7"/>
      <c r="K69" s="3"/>
    </row>
    <row r="70" spans="1:11">
      <c r="A70" s="7"/>
      <c r="B70" s="7"/>
      <c r="C70" s="7"/>
      <c r="D70" s="54" t="s">
        <v>29</v>
      </c>
      <c r="E70" s="51" t="s">
        <v>30</v>
      </c>
      <c r="F70" s="51" t="s">
        <v>31</v>
      </c>
      <c r="G70" s="51" t="s">
        <v>30</v>
      </c>
      <c r="H70" s="51" t="s">
        <v>31</v>
      </c>
      <c r="I70" s="7"/>
      <c r="J70" s="7"/>
      <c r="K70" s="3"/>
    </row>
    <row r="71" spans="1:11">
      <c r="A71" s="7"/>
      <c r="B71" s="7"/>
      <c r="C71" s="7"/>
      <c r="D71" s="52"/>
      <c r="E71" s="28"/>
      <c r="F71" s="96"/>
      <c r="G71" s="28"/>
      <c r="H71" s="29"/>
      <c r="I71" s="7"/>
      <c r="J71" s="7"/>
      <c r="K71" s="3"/>
    </row>
    <row r="72" spans="1:11">
      <c r="A72" s="7"/>
      <c r="B72" s="7"/>
      <c r="C72" s="7"/>
      <c r="D72" s="83" t="s">
        <v>32</v>
      </c>
      <c r="E72" s="84">
        <f>'AGO 2021'!E52</f>
        <v>417.84</v>
      </c>
      <c r="F72" s="177">
        <v>15</v>
      </c>
      <c r="G72" s="84">
        <f>'ENE 2021'!G46</f>
        <v>1008.93</v>
      </c>
      <c r="H72" s="85">
        <f>'ENE 2021'!H55</f>
        <v>32</v>
      </c>
      <c r="I72" s="7"/>
      <c r="J72" s="7"/>
      <c r="K72" s="3"/>
    </row>
    <row r="73" spans="1:11">
      <c r="A73" s="7"/>
      <c r="B73" s="7"/>
      <c r="C73" s="7"/>
      <c r="D73" s="86" t="s">
        <v>38</v>
      </c>
      <c r="E73" s="31">
        <f>'AGO 2021'!E53</f>
        <v>591.57000000000005</v>
      </c>
      <c r="F73" s="178">
        <v>22</v>
      </c>
      <c r="G73" s="31">
        <f>'FEB 2021'!G48</f>
        <v>719.82</v>
      </c>
      <c r="H73" s="32">
        <f>'FEB 2021'!H57</f>
        <v>25</v>
      </c>
      <c r="I73" s="7"/>
      <c r="J73" s="7"/>
      <c r="K73" s="3"/>
    </row>
    <row r="74" spans="1:11">
      <c r="A74" s="7"/>
      <c r="B74" s="7"/>
      <c r="C74" s="7"/>
      <c r="D74" s="88" t="s">
        <v>40</v>
      </c>
      <c r="E74" s="31">
        <f>'AGO 2021'!E54</f>
        <v>408.24</v>
      </c>
      <c r="F74" s="178">
        <v>13</v>
      </c>
      <c r="G74" s="31">
        <f>'MAR 2021'!G43</f>
        <v>815.73</v>
      </c>
      <c r="H74" s="32">
        <f>'MAR 2021'!H51</f>
        <v>26</v>
      </c>
      <c r="I74" s="7"/>
      <c r="J74" s="7"/>
      <c r="K74" s="3"/>
    </row>
    <row r="75" spans="1:11">
      <c r="A75" s="7"/>
      <c r="B75" s="7"/>
      <c r="C75" s="7"/>
      <c r="D75" s="88" t="s">
        <v>43</v>
      </c>
      <c r="E75" s="31">
        <f>'AGO 2021'!E55</f>
        <v>188.13</v>
      </c>
      <c r="F75" s="178">
        <v>6</v>
      </c>
      <c r="G75" s="36">
        <f>'ABR 2021'!G41</f>
        <v>323.73</v>
      </c>
      <c r="H75" s="32">
        <f>'ABR 2021'!H50</f>
        <v>11</v>
      </c>
      <c r="I75" s="7"/>
      <c r="J75" s="7"/>
      <c r="K75" s="3"/>
    </row>
    <row r="76" spans="1:11">
      <c r="A76" s="7"/>
      <c r="B76" s="7"/>
      <c r="C76" s="7"/>
      <c r="D76" s="86" t="s">
        <v>45</v>
      </c>
      <c r="E76" s="31">
        <f>'AGO 2021'!E56</f>
        <v>279.93</v>
      </c>
      <c r="F76" s="178">
        <v>8</v>
      </c>
      <c r="G76" s="31">
        <f>'MAY 2021'!G44</f>
        <v>142.35</v>
      </c>
      <c r="H76" s="32">
        <f>'MAY 2021'!H52</f>
        <v>6</v>
      </c>
      <c r="I76" s="7"/>
      <c r="J76" s="7"/>
      <c r="K76" s="3"/>
    </row>
    <row r="77" spans="1:11">
      <c r="A77" s="7"/>
      <c r="B77" s="7"/>
      <c r="C77" s="7"/>
      <c r="D77" s="88" t="s">
        <v>47</v>
      </c>
      <c r="E77" s="31">
        <f>'AGO 2021'!E57</f>
        <v>202.08</v>
      </c>
      <c r="F77" s="178">
        <v>7</v>
      </c>
      <c r="G77" s="36">
        <f>'JUN 2021'!G33</f>
        <v>189.81</v>
      </c>
      <c r="H77" s="32">
        <f>'JUN 2021'!H42</f>
        <v>6</v>
      </c>
      <c r="I77" s="7"/>
      <c r="J77" s="7"/>
      <c r="K77" s="3"/>
    </row>
    <row r="78" spans="1:11">
      <c r="A78" s="7"/>
      <c r="B78" s="7"/>
      <c r="C78" s="7"/>
      <c r="D78" s="88" t="s">
        <v>55</v>
      </c>
      <c r="E78" s="31">
        <f>'AGO 2021'!E58</f>
        <v>178.92</v>
      </c>
      <c r="F78" s="178">
        <v>6</v>
      </c>
      <c r="G78" s="36">
        <f>'JUL 2021'!G33</f>
        <v>288.27</v>
      </c>
      <c r="H78" s="32">
        <f>'JUL 2021'!H42</f>
        <v>7</v>
      </c>
      <c r="I78" s="7"/>
      <c r="J78" s="7"/>
      <c r="K78" s="3"/>
    </row>
    <row r="79" spans="1:11">
      <c r="A79" s="7"/>
      <c r="B79" s="7"/>
      <c r="C79" s="7"/>
      <c r="D79" s="88" t="s">
        <v>59</v>
      </c>
      <c r="E79" s="31">
        <f>'AGO 2021'!E59</f>
        <v>155.82</v>
      </c>
      <c r="F79" s="178">
        <v>6</v>
      </c>
      <c r="G79" s="36">
        <f>'AGO 2021'!G32</f>
        <v>642.03</v>
      </c>
      <c r="H79" s="32">
        <f>'AGO 2021'!H40</f>
        <v>12</v>
      </c>
      <c r="I79" s="7"/>
      <c r="J79" s="7"/>
      <c r="K79" s="3"/>
    </row>
    <row r="80" spans="1:11">
      <c r="A80" s="7"/>
      <c r="B80" s="7"/>
      <c r="C80" s="7"/>
      <c r="D80" s="87" t="s">
        <v>62</v>
      </c>
      <c r="E80" s="34">
        <v>414.9</v>
      </c>
      <c r="F80" s="180">
        <v>11</v>
      </c>
      <c r="G80" s="89">
        <f>G43</f>
        <v>288.39</v>
      </c>
      <c r="H80" s="35">
        <f>H53</f>
        <v>7</v>
      </c>
      <c r="I80" s="7"/>
      <c r="J80" s="7"/>
      <c r="K80" s="3"/>
    </row>
    <row r="81" spans="1:11">
      <c r="A81" s="7"/>
      <c r="B81" s="7"/>
      <c r="C81" s="7"/>
      <c r="D81" s="7"/>
      <c r="E81" s="7"/>
      <c r="F81" s="7"/>
      <c r="G81" s="7"/>
      <c r="H81" s="7"/>
      <c r="I81" s="7"/>
      <c r="J81" s="7"/>
      <c r="K81" s="3"/>
    </row>
    <row r="82" spans="1:11">
      <c r="A82" s="7"/>
      <c r="B82" s="7"/>
      <c r="C82" s="7"/>
      <c r="D82" s="7"/>
      <c r="E82" s="58">
        <f>SUM(E72:E81)</f>
        <v>2837.4300000000007</v>
      </c>
      <c r="F82" s="59">
        <f>SUM(F72:F81)</f>
        <v>94</v>
      </c>
      <c r="G82" s="58">
        <f>SUM(G72:G80)</f>
        <v>4419.0600000000004</v>
      </c>
      <c r="H82" s="59">
        <f>SUM(H72:H80)</f>
        <v>132</v>
      </c>
      <c r="I82" s="7"/>
      <c r="J82" s="7"/>
      <c r="K82" s="3"/>
    </row>
    <row r="83" spans="1:11">
      <c r="A83" s="7"/>
      <c r="B83" s="7"/>
      <c r="C83" s="7"/>
      <c r="D83" s="7"/>
      <c r="E83" s="7"/>
      <c r="F83" s="7"/>
      <c r="G83" s="7"/>
      <c r="H83" s="7"/>
      <c r="I83" s="7"/>
      <c r="J83" s="7"/>
    </row>
    <row r="84" spans="1:11">
      <c r="A84" s="7"/>
      <c r="B84" s="7"/>
      <c r="C84" s="7"/>
      <c r="D84" s="7"/>
      <c r="E84" s="7"/>
      <c r="F84" s="7"/>
      <c r="G84" s="7"/>
      <c r="H84" s="7"/>
      <c r="I84" s="7"/>
      <c r="J84" s="7"/>
    </row>
    <row r="85" spans="1:11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1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1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1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1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1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1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1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1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1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1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1">
      <c r="A96" s="3"/>
      <c r="B96" s="3"/>
      <c r="C96" s="3"/>
      <c r="D96" s="3"/>
      <c r="E96" s="3"/>
      <c r="F96" s="3"/>
      <c r="G96" s="3"/>
      <c r="H96" s="3"/>
      <c r="I96" s="3"/>
      <c r="J96" s="3"/>
    </row>
  </sheetData>
  <mergeCells count="118">
    <mergeCell ref="E7:H7"/>
    <mergeCell ref="H32:J32"/>
    <mergeCell ref="H30:J30"/>
    <mergeCell ref="D29:E29"/>
    <mergeCell ref="F25:G25"/>
    <mergeCell ref="H25:J25"/>
    <mergeCell ref="F31:G31"/>
    <mergeCell ref="H31:J31"/>
    <mergeCell ref="F29:G29"/>
    <mergeCell ref="H20:J20"/>
    <mergeCell ref="H26:J26"/>
    <mergeCell ref="D18:E18"/>
    <mergeCell ref="F18:G18"/>
    <mergeCell ref="H18:J18"/>
    <mergeCell ref="D26:E26"/>
    <mergeCell ref="F26:G26"/>
    <mergeCell ref="H27:J27"/>
    <mergeCell ref="D28:E28"/>
    <mergeCell ref="F28:G28"/>
    <mergeCell ref="H28:J28"/>
    <mergeCell ref="F27:G27"/>
    <mergeCell ref="D10:E10"/>
    <mergeCell ref="F10:G10"/>
    <mergeCell ref="H10:J10"/>
    <mergeCell ref="D11:E11"/>
    <mergeCell ref="F11:G11"/>
    <mergeCell ref="H11:J11"/>
    <mergeCell ref="F15:G15"/>
    <mergeCell ref="H15:J15"/>
    <mergeCell ref="F24:G24"/>
    <mergeCell ref="H23:J23"/>
    <mergeCell ref="F23:G23"/>
    <mergeCell ref="H17:J17"/>
    <mergeCell ref="D24:E24"/>
    <mergeCell ref="H24:J24"/>
    <mergeCell ref="H22:J22"/>
    <mergeCell ref="D16:E16"/>
    <mergeCell ref="F16:G16"/>
    <mergeCell ref="H16:J16"/>
    <mergeCell ref="D17:E17"/>
    <mergeCell ref="F17:G17"/>
    <mergeCell ref="D12:E12"/>
    <mergeCell ref="F12:G12"/>
    <mergeCell ref="H12:J12"/>
    <mergeCell ref="D19:E19"/>
    <mergeCell ref="F19:G19"/>
    <mergeCell ref="H19:J19"/>
    <mergeCell ref="D13:E13"/>
    <mergeCell ref="F13:G13"/>
    <mergeCell ref="H13:J13"/>
    <mergeCell ref="D14:E14"/>
    <mergeCell ref="F14:G14"/>
    <mergeCell ref="H14:J14"/>
    <mergeCell ref="D15:E15"/>
    <mergeCell ref="D20:E20"/>
    <mergeCell ref="F20:G20"/>
    <mergeCell ref="E69:F69"/>
    <mergeCell ref="G69:H69"/>
    <mergeCell ref="D21:E21"/>
    <mergeCell ref="F21:G21"/>
    <mergeCell ref="H21:J21"/>
    <mergeCell ref="E53:F53"/>
    <mergeCell ref="C51:D51"/>
    <mergeCell ref="E51:F51"/>
    <mergeCell ref="C50:D50"/>
    <mergeCell ref="D34:E34"/>
    <mergeCell ref="C58:E58"/>
    <mergeCell ref="C59:E59"/>
    <mergeCell ref="F60:G60"/>
    <mergeCell ref="E67:H67"/>
    <mergeCell ref="F59:G59"/>
    <mergeCell ref="C57:E57"/>
    <mergeCell ref="F57:G57"/>
    <mergeCell ref="D37:E37"/>
    <mergeCell ref="F37:G37"/>
    <mergeCell ref="D22:E22"/>
    <mergeCell ref="F22:G22"/>
    <mergeCell ref="D32:E32"/>
    <mergeCell ref="F32:G32"/>
    <mergeCell ref="D23:E23"/>
    <mergeCell ref="D31:E31"/>
    <mergeCell ref="D27:E27"/>
    <mergeCell ref="D30:E30"/>
    <mergeCell ref="F30:G30"/>
    <mergeCell ref="D25:E25"/>
    <mergeCell ref="E52:F52"/>
    <mergeCell ref="D35:E35"/>
    <mergeCell ref="F35:G35"/>
    <mergeCell ref="E50:F50"/>
    <mergeCell ref="D36:E36"/>
    <mergeCell ref="F36:G36"/>
    <mergeCell ref="E49:F49"/>
    <mergeCell ref="C47:D47"/>
    <mergeCell ref="D43:E43"/>
    <mergeCell ref="E47:F47"/>
    <mergeCell ref="F41:G41"/>
    <mergeCell ref="C52:D52"/>
    <mergeCell ref="D33:E33"/>
    <mergeCell ref="F33:G33"/>
    <mergeCell ref="H33:J33"/>
    <mergeCell ref="H29:J29"/>
    <mergeCell ref="F34:G34"/>
    <mergeCell ref="E48:F48"/>
    <mergeCell ref="C49:D49"/>
    <mergeCell ref="H40:J40"/>
    <mergeCell ref="H36:J36"/>
    <mergeCell ref="H35:J35"/>
    <mergeCell ref="H37:J37"/>
    <mergeCell ref="H38:J38"/>
    <mergeCell ref="D38:E38"/>
    <mergeCell ref="F38:G38"/>
    <mergeCell ref="D39:E39"/>
    <mergeCell ref="D40:E40"/>
    <mergeCell ref="F39:G39"/>
    <mergeCell ref="F40:G40"/>
    <mergeCell ref="C48:D48"/>
    <mergeCell ref="H39:J39"/>
    <mergeCell ref="H34:J34"/>
  </mergeCells>
  <phoneticPr fontId="0" type="noConversion"/>
  <pageMargins left="0.59055118110236227" right="0.75" top="1" bottom="1" header="0" footer="0"/>
  <pageSetup paperSize="9" scale="44" orientation="portrait" horizontalDpi="4294967293" verticalDpi="3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130"/>
  <sheetViews>
    <sheetView topLeftCell="A46" zoomScaleNormal="100" workbookViewId="0">
      <selection activeCell="G78" sqref="G78"/>
    </sheetView>
  </sheetViews>
  <sheetFormatPr defaultColWidth="11.42578125" defaultRowHeight="12.75"/>
  <cols>
    <col min="1" max="2" width="4.28515625" style="126" customWidth="1"/>
    <col min="3" max="10" width="12.42578125" style="126" customWidth="1"/>
    <col min="11" max="16384" width="11.42578125" style="126"/>
  </cols>
  <sheetData>
    <row r="1" spans="1:11">
      <c r="A1" s="124"/>
      <c r="B1" s="124"/>
      <c r="C1" s="4"/>
      <c r="D1" s="4"/>
      <c r="E1" s="4"/>
      <c r="F1" s="4"/>
      <c r="G1" s="4"/>
      <c r="H1" s="4"/>
      <c r="I1" s="4"/>
      <c r="J1" s="4"/>
      <c r="K1" s="125"/>
    </row>
    <row r="2" spans="1:11">
      <c r="A2" s="127"/>
      <c r="B2" s="127"/>
      <c r="C2" s="125"/>
      <c r="D2" s="125"/>
      <c r="E2" s="125"/>
      <c r="F2" s="125"/>
      <c r="G2" s="125"/>
      <c r="H2" s="125"/>
      <c r="I2" s="125"/>
      <c r="J2" s="125"/>
      <c r="K2" s="125"/>
    </row>
    <row r="3" spans="1:11">
      <c r="A3" s="127"/>
      <c r="B3" s="127"/>
      <c r="C3" s="125"/>
      <c r="D3" s="125"/>
      <c r="E3" s="125"/>
      <c r="F3" s="125"/>
      <c r="G3" s="125"/>
      <c r="H3" s="125"/>
      <c r="I3" s="125"/>
      <c r="J3" s="125"/>
      <c r="K3" s="125"/>
    </row>
    <row r="4" spans="1:11">
      <c r="A4" s="6"/>
      <c r="B4" s="6"/>
      <c r="C4" s="125"/>
      <c r="D4" s="125"/>
      <c r="E4" s="125"/>
      <c r="F4" s="125"/>
      <c r="G4" s="125"/>
      <c r="H4" s="125"/>
      <c r="I4" s="125"/>
      <c r="J4" s="125"/>
      <c r="K4" s="125"/>
    </row>
    <row r="5" spans="1:11">
      <c r="A5" s="127"/>
      <c r="B5" s="127"/>
      <c r="C5" s="125"/>
      <c r="D5" s="125"/>
      <c r="E5" s="125"/>
      <c r="F5" s="125"/>
      <c r="G5" s="125"/>
      <c r="H5" s="125"/>
      <c r="I5" s="125"/>
      <c r="J5" s="125"/>
      <c r="K5" s="125"/>
    </row>
    <row r="6" spans="1:11">
      <c r="A6" s="6"/>
      <c r="B6" s="6"/>
      <c r="C6" s="125"/>
      <c r="D6" s="125"/>
      <c r="E6" s="125"/>
      <c r="F6" s="125"/>
      <c r="G6" s="125"/>
      <c r="H6" s="125"/>
      <c r="I6" s="125"/>
      <c r="J6" s="125"/>
      <c r="K6" s="125"/>
    </row>
    <row r="7" spans="1:11">
      <c r="A7" s="6"/>
      <c r="B7" s="6"/>
      <c r="C7" s="125"/>
      <c r="D7" s="125"/>
      <c r="E7" s="284" t="s">
        <v>1</v>
      </c>
      <c r="F7" s="284"/>
      <c r="G7" s="284"/>
      <c r="H7" s="284"/>
      <c r="I7" s="237" t="s">
        <v>63</v>
      </c>
      <c r="J7" s="226">
        <f>CARÁTULA!$F$16</f>
        <v>2021</v>
      </c>
      <c r="K7" s="125"/>
    </row>
    <row r="8" spans="1:11">
      <c r="A8" s="6"/>
      <c r="B8" s="6"/>
      <c r="C8" s="125"/>
      <c r="D8" s="125"/>
      <c r="E8" s="125"/>
      <c r="F8" s="125"/>
      <c r="G8" s="125"/>
      <c r="H8" s="125"/>
      <c r="I8" s="125"/>
      <c r="J8" s="125"/>
      <c r="K8" s="125"/>
    </row>
    <row r="9" spans="1:11">
      <c r="A9" s="6"/>
      <c r="B9" s="6"/>
      <c r="C9" s="125"/>
      <c r="D9" s="125"/>
      <c r="E9" s="125"/>
      <c r="F9" s="125"/>
      <c r="G9" s="125"/>
      <c r="H9" s="125"/>
      <c r="I9" s="125"/>
      <c r="J9" s="125"/>
      <c r="K9" s="125"/>
    </row>
    <row r="10" spans="1:11" s="128" customFormat="1">
      <c r="A10" s="246"/>
      <c r="B10" s="248" t="s">
        <v>3</v>
      </c>
      <c r="C10" s="248" t="s">
        <v>4</v>
      </c>
      <c r="D10" s="301" t="s">
        <v>5</v>
      </c>
      <c r="E10" s="301"/>
      <c r="F10" s="301" t="s">
        <v>6</v>
      </c>
      <c r="G10" s="301"/>
      <c r="H10" s="301" t="s">
        <v>7</v>
      </c>
      <c r="I10" s="301"/>
      <c r="J10" s="301"/>
      <c r="K10" s="125"/>
    </row>
    <row r="11" spans="1:11">
      <c r="A11" s="246"/>
      <c r="B11" s="246">
        <v>156</v>
      </c>
      <c r="C11" s="129">
        <v>44470</v>
      </c>
      <c r="D11" s="315" t="s">
        <v>8</v>
      </c>
      <c r="E11" s="315"/>
      <c r="F11" s="311">
        <v>21330</v>
      </c>
      <c r="G11" s="311"/>
      <c r="H11" s="302" t="s">
        <v>42</v>
      </c>
      <c r="I11" s="302"/>
      <c r="J11" s="302"/>
      <c r="K11" s="125"/>
    </row>
    <row r="12" spans="1:11">
      <c r="A12" s="246"/>
      <c r="B12" s="246">
        <v>157</v>
      </c>
      <c r="C12" s="129">
        <v>44481</v>
      </c>
      <c r="D12" s="302" t="s">
        <v>8</v>
      </c>
      <c r="E12" s="302"/>
      <c r="F12" s="304">
        <v>25290</v>
      </c>
      <c r="G12" s="304"/>
      <c r="H12" s="302" t="s">
        <v>42</v>
      </c>
      <c r="I12" s="302"/>
      <c r="J12" s="302"/>
      <c r="K12" s="125"/>
    </row>
    <row r="13" spans="1:11">
      <c r="A13" s="246"/>
      <c r="B13" s="246">
        <v>159</v>
      </c>
      <c r="C13" s="129">
        <v>44492</v>
      </c>
      <c r="D13" s="302" t="s">
        <v>11</v>
      </c>
      <c r="E13" s="302"/>
      <c r="F13" s="304">
        <v>49620</v>
      </c>
      <c r="G13" s="304"/>
      <c r="H13" s="302" t="s">
        <v>42</v>
      </c>
      <c r="I13" s="302"/>
      <c r="J13" s="302"/>
      <c r="K13" s="125"/>
    </row>
    <row r="14" spans="1:11">
      <c r="A14" s="246"/>
      <c r="B14" s="246"/>
      <c r="C14" s="129"/>
      <c r="D14" s="302"/>
      <c r="E14" s="302"/>
      <c r="F14" s="304"/>
      <c r="G14" s="304"/>
      <c r="H14" s="302"/>
      <c r="I14" s="302"/>
      <c r="J14" s="302"/>
      <c r="K14" s="125"/>
    </row>
    <row r="15" spans="1:11">
      <c r="A15" s="246"/>
      <c r="B15" s="246"/>
      <c r="C15" s="129"/>
      <c r="D15" s="302"/>
      <c r="E15" s="302"/>
      <c r="F15" s="304"/>
      <c r="G15" s="304"/>
      <c r="H15" s="302"/>
      <c r="I15" s="302"/>
      <c r="J15" s="302"/>
      <c r="K15" s="125"/>
    </row>
    <row r="16" spans="1:11">
      <c r="A16" s="246"/>
      <c r="B16" s="246"/>
      <c r="C16" s="129"/>
      <c r="D16" s="302"/>
      <c r="E16" s="302"/>
      <c r="F16" s="304"/>
      <c r="G16" s="304"/>
      <c r="H16" s="302"/>
      <c r="I16" s="302"/>
      <c r="J16" s="302"/>
      <c r="K16" s="125"/>
    </row>
    <row r="17" spans="1:11">
      <c r="A17" s="246"/>
      <c r="B17" s="246"/>
      <c r="C17" s="129"/>
      <c r="D17" s="302"/>
      <c r="E17" s="302"/>
      <c r="F17" s="304"/>
      <c r="G17" s="304"/>
      <c r="H17" s="302"/>
      <c r="I17" s="302"/>
      <c r="J17" s="302"/>
      <c r="K17" s="125"/>
    </row>
    <row r="18" spans="1:11">
      <c r="A18" s="246"/>
      <c r="B18" s="246"/>
      <c r="C18" s="129"/>
      <c r="D18" s="302"/>
      <c r="E18" s="302"/>
      <c r="F18" s="304"/>
      <c r="G18" s="304"/>
      <c r="H18" s="302"/>
      <c r="I18" s="302"/>
      <c r="J18" s="302"/>
      <c r="K18" s="125"/>
    </row>
    <row r="19" spans="1:11">
      <c r="A19" s="246"/>
      <c r="B19" s="246"/>
      <c r="C19" s="129"/>
      <c r="D19" s="302"/>
      <c r="E19" s="302"/>
      <c r="F19" s="304"/>
      <c r="G19" s="304"/>
      <c r="H19" s="302"/>
      <c r="I19" s="302"/>
      <c r="J19" s="302"/>
      <c r="K19" s="125"/>
    </row>
    <row r="20" spans="1:11">
      <c r="A20" s="246"/>
      <c r="B20" s="246"/>
      <c r="C20" s="129"/>
      <c r="D20" s="302"/>
      <c r="E20" s="302"/>
      <c r="F20" s="304"/>
      <c r="G20" s="304"/>
      <c r="H20" s="302"/>
      <c r="I20" s="302"/>
      <c r="J20" s="302"/>
      <c r="K20" s="125"/>
    </row>
    <row r="21" spans="1:11">
      <c r="A21" s="246"/>
      <c r="B21" s="246"/>
      <c r="C21" s="129"/>
      <c r="D21" s="302"/>
      <c r="E21" s="302"/>
      <c r="F21" s="304"/>
      <c r="G21" s="304"/>
      <c r="H21" s="302"/>
      <c r="I21" s="302"/>
      <c r="J21" s="302"/>
      <c r="K21" s="125"/>
    </row>
    <row r="22" spans="1:11">
      <c r="A22" s="246"/>
      <c r="B22" s="246"/>
      <c r="C22" s="129"/>
      <c r="D22" s="302"/>
      <c r="E22" s="302"/>
      <c r="F22" s="304"/>
      <c r="G22" s="304"/>
      <c r="H22" s="302"/>
      <c r="I22" s="302"/>
      <c r="J22" s="302"/>
      <c r="K22" s="125"/>
    </row>
    <row r="23" spans="1:11">
      <c r="A23" s="246"/>
      <c r="B23" s="246"/>
      <c r="C23" s="129"/>
      <c r="D23" s="302"/>
      <c r="E23" s="302"/>
      <c r="F23" s="304"/>
      <c r="G23" s="304"/>
      <c r="H23" s="302"/>
      <c r="I23" s="302"/>
      <c r="J23" s="302"/>
      <c r="K23" s="125"/>
    </row>
    <row r="24" spans="1:11">
      <c r="A24" s="246"/>
      <c r="B24" s="246"/>
      <c r="C24" s="129"/>
      <c r="D24" s="302"/>
      <c r="E24" s="302"/>
      <c r="F24" s="304"/>
      <c r="G24" s="304"/>
      <c r="H24" s="302"/>
      <c r="I24" s="302"/>
      <c r="J24" s="302"/>
      <c r="K24" s="125"/>
    </row>
    <row r="25" spans="1:11">
      <c r="A25" s="246"/>
      <c r="B25" s="246"/>
      <c r="C25" s="129"/>
      <c r="D25" s="302"/>
      <c r="E25" s="302"/>
      <c r="F25" s="304"/>
      <c r="G25" s="304"/>
      <c r="H25" s="302"/>
      <c r="I25" s="302"/>
      <c r="J25" s="302"/>
      <c r="K25" s="125"/>
    </row>
    <row r="26" spans="1:11">
      <c r="A26" s="246"/>
      <c r="B26" s="246"/>
      <c r="C26" s="129"/>
      <c r="D26" s="302"/>
      <c r="E26" s="302"/>
      <c r="F26" s="304"/>
      <c r="G26" s="304"/>
      <c r="H26" s="302"/>
      <c r="I26" s="302"/>
      <c r="J26" s="302"/>
      <c r="K26" s="125"/>
    </row>
    <row r="27" spans="1:11">
      <c r="A27" s="246"/>
      <c r="B27" s="246"/>
      <c r="C27" s="129"/>
      <c r="D27" s="302"/>
      <c r="E27" s="302"/>
      <c r="F27" s="304"/>
      <c r="G27" s="304"/>
      <c r="H27" s="302"/>
      <c r="I27" s="302"/>
      <c r="J27" s="302"/>
      <c r="K27" s="125"/>
    </row>
    <row r="28" spans="1:11">
      <c r="A28" s="246"/>
      <c r="B28" s="246"/>
      <c r="C28" s="129"/>
      <c r="D28" s="302"/>
      <c r="E28" s="302"/>
      <c r="F28" s="304"/>
      <c r="G28" s="304"/>
      <c r="H28" s="302"/>
      <c r="I28" s="302"/>
      <c r="J28" s="302"/>
      <c r="K28" s="125"/>
    </row>
    <row r="29" spans="1:11">
      <c r="A29" s="246"/>
      <c r="B29" s="246"/>
      <c r="C29" s="129"/>
      <c r="D29" s="302"/>
      <c r="E29" s="302"/>
      <c r="F29" s="304"/>
      <c r="G29" s="304"/>
      <c r="H29" s="302"/>
      <c r="I29" s="302"/>
      <c r="J29" s="302"/>
      <c r="K29" s="125"/>
    </row>
    <row r="30" spans="1:11">
      <c r="A30" s="246"/>
      <c r="B30" s="246"/>
      <c r="C30" s="129"/>
      <c r="D30" s="302"/>
      <c r="E30" s="302"/>
      <c r="F30" s="304"/>
      <c r="G30" s="304"/>
      <c r="H30" s="302"/>
      <c r="I30" s="302"/>
      <c r="J30" s="302"/>
      <c r="K30" s="125"/>
    </row>
    <row r="31" spans="1:11">
      <c r="A31" s="246"/>
      <c r="B31" s="246"/>
      <c r="C31" s="129"/>
      <c r="D31" s="302"/>
      <c r="E31" s="302"/>
      <c r="F31" s="304"/>
      <c r="G31" s="304"/>
      <c r="H31" s="302"/>
      <c r="I31" s="302"/>
      <c r="J31" s="302"/>
      <c r="K31" s="125"/>
    </row>
    <row r="32" spans="1:11">
      <c r="A32" s="246"/>
      <c r="B32" s="246"/>
      <c r="C32" s="129"/>
      <c r="D32" s="302"/>
      <c r="E32" s="302"/>
      <c r="F32" s="304"/>
      <c r="G32" s="304"/>
      <c r="H32" s="302"/>
      <c r="I32" s="302"/>
      <c r="J32" s="302"/>
      <c r="K32" s="125"/>
    </row>
    <row r="33" spans="1:11">
      <c r="A33" s="246"/>
      <c r="B33" s="246"/>
      <c r="C33" s="129"/>
      <c r="D33" s="302"/>
      <c r="E33" s="302"/>
      <c r="F33" s="304"/>
      <c r="G33" s="304"/>
      <c r="H33" s="302"/>
      <c r="I33" s="302"/>
      <c r="J33" s="302"/>
      <c r="K33" s="125"/>
    </row>
    <row r="34" spans="1:11">
      <c r="A34" s="246"/>
      <c r="B34" s="246"/>
      <c r="C34" s="129"/>
      <c r="D34" s="302"/>
      <c r="E34" s="302"/>
      <c r="F34" s="304"/>
      <c r="G34" s="304"/>
      <c r="H34" s="302"/>
      <c r="I34" s="302"/>
      <c r="J34" s="302"/>
      <c r="K34" s="125"/>
    </row>
    <row r="35" spans="1:11">
      <c r="A35" s="246"/>
      <c r="B35" s="246"/>
      <c r="C35" s="129"/>
      <c r="D35" s="302"/>
      <c r="E35" s="302"/>
      <c r="F35" s="303"/>
      <c r="G35" s="303"/>
      <c r="H35" s="302"/>
      <c r="I35" s="302"/>
      <c r="J35" s="302"/>
      <c r="K35" s="125"/>
    </row>
    <row r="36" spans="1:11">
      <c r="A36" s="246"/>
      <c r="B36" s="246"/>
      <c r="C36" s="129"/>
      <c r="D36" s="340"/>
      <c r="E36" s="340"/>
      <c r="F36" s="304"/>
      <c r="G36" s="304"/>
      <c r="H36" s="302"/>
      <c r="I36" s="302"/>
      <c r="J36" s="302"/>
      <c r="K36" s="125"/>
    </row>
    <row r="37" spans="1:11">
      <c r="A37" s="246"/>
      <c r="B37" s="246"/>
      <c r="C37" s="130"/>
      <c r="D37" s="131"/>
      <c r="E37" s="131"/>
      <c r="F37" s="313">
        <f>SUM(F11:G36)</f>
        <v>96240</v>
      </c>
      <c r="G37" s="314"/>
      <c r="H37" s="132"/>
      <c r="I37" s="132"/>
      <c r="J37" s="132"/>
      <c r="K37" s="125"/>
    </row>
    <row r="38" spans="1:11">
      <c r="A38" s="246"/>
      <c r="B38" s="246"/>
      <c r="C38" s="130"/>
      <c r="D38" s="131"/>
      <c r="E38" s="131"/>
      <c r="F38" s="133"/>
      <c r="G38" s="133"/>
      <c r="H38" s="132"/>
      <c r="I38" s="132"/>
      <c r="J38" s="132"/>
      <c r="K38" s="125"/>
    </row>
    <row r="39" spans="1:11">
      <c r="A39" s="246"/>
      <c r="B39" s="246"/>
      <c r="C39" s="114"/>
      <c r="D39" s="312" t="s">
        <v>15</v>
      </c>
      <c r="E39" s="312"/>
      <c r="F39" s="114"/>
      <c r="G39" s="134">
        <f>F37/1000</f>
        <v>96.24</v>
      </c>
      <c r="H39" s="114"/>
      <c r="I39" s="114"/>
      <c r="J39" s="114"/>
      <c r="K39" s="125"/>
    </row>
    <row r="40" spans="1:11">
      <c r="A40" s="246"/>
      <c r="B40" s="246"/>
      <c r="C40" s="114"/>
      <c r="D40" s="249"/>
      <c r="E40" s="249"/>
      <c r="F40" s="114"/>
      <c r="G40" s="135"/>
      <c r="H40" s="114"/>
      <c r="I40" s="114"/>
      <c r="J40" s="114"/>
      <c r="K40" s="125"/>
    </row>
    <row r="41" spans="1:11">
      <c r="A41" s="246"/>
      <c r="B41" s="246"/>
      <c r="C41" s="114"/>
      <c r="D41" s="249"/>
      <c r="E41" s="249"/>
      <c r="F41" s="114"/>
      <c r="G41" s="135"/>
      <c r="H41" s="114"/>
      <c r="I41" s="114"/>
      <c r="J41" s="114"/>
      <c r="K41" s="125"/>
    </row>
    <row r="42" spans="1:11">
      <c r="A42" s="246"/>
      <c r="B42" s="246"/>
      <c r="C42" s="114"/>
      <c r="D42" s="114"/>
      <c r="E42" s="136"/>
      <c r="F42" s="114"/>
      <c r="G42" s="114"/>
      <c r="H42" s="114"/>
      <c r="I42" s="114"/>
      <c r="J42" s="114"/>
      <c r="K42" s="125"/>
    </row>
    <row r="43" spans="1:11">
      <c r="A43" s="246"/>
      <c r="B43" s="246"/>
      <c r="C43" s="301" t="s">
        <v>16</v>
      </c>
      <c r="D43" s="301"/>
      <c r="E43" s="301" t="s">
        <v>17</v>
      </c>
      <c r="F43" s="301"/>
      <c r="G43" s="248" t="s">
        <v>18</v>
      </c>
      <c r="H43" s="248" t="s">
        <v>19</v>
      </c>
      <c r="I43" s="114"/>
      <c r="J43" s="114"/>
      <c r="K43" s="125"/>
    </row>
    <row r="44" spans="1:11">
      <c r="A44" s="246"/>
      <c r="B44" s="246"/>
      <c r="C44" s="266" t="s">
        <v>61</v>
      </c>
      <c r="D44" s="266"/>
      <c r="E44" s="341">
        <v>0</v>
      </c>
      <c r="F44" s="341"/>
      <c r="G44" s="137">
        <f>+E44/E49</f>
        <v>0</v>
      </c>
      <c r="H44" s="138">
        <v>0</v>
      </c>
      <c r="I44" s="114"/>
      <c r="J44" s="114"/>
      <c r="K44" s="125"/>
    </row>
    <row r="45" spans="1:11">
      <c r="A45" s="246"/>
      <c r="B45" s="246"/>
      <c r="C45" s="266" t="s">
        <v>53</v>
      </c>
      <c r="D45" s="266"/>
      <c r="E45" s="341">
        <f>F11+F12</f>
        <v>46620</v>
      </c>
      <c r="F45" s="341"/>
      <c r="G45" s="137">
        <f>+E45/E49</f>
        <v>0.48441396508728179</v>
      </c>
      <c r="H45" s="138">
        <v>2</v>
      </c>
      <c r="I45" s="114"/>
      <c r="J45" s="114"/>
      <c r="K45" s="125"/>
    </row>
    <row r="46" spans="1:11">
      <c r="A46" s="246"/>
      <c r="B46" s="246"/>
      <c r="C46" s="266" t="s">
        <v>54</v>
      </c>
      <c r="D46" s="266"/>
      <c r="E46" s="341">
        <f>F13</f>
        <v>49620</v>
      </c>
      <c r="F46" s="341"/>
      <c r="G46" s="137">
        <f>+E46/E49</f>
        <v>0.51558603491271815</v>
      </c>
      <c r="H46" s="138">
        <v>1</v>
      </c>
      <c r="I46" s="114"/>
      <c r="J46" s="114"/>
      <c r="K46" s="125"/>
    </row>
    <row r="47" spans="1:11">
      <c r="A47" s="246"/>
      <c r="B47" s="246"/>
      <c r="C47" s="266" t="s">
        <v>58</v>
      </c>
      <c r="D47" s="266"/>
      <c r="E47" s="341">
        <v>0</v>
      </c>
      <c r="F47" s="341"/>
      <c r="G47" s="137">
        <f>+E47/E49</f>
        <v>0</v>
      </c>
      <c r="H47" s="138">
        <v>0</v>
      </c>
      <c r="I47" s="114"/>
      <c r="J47" s="114"/>
      <c r="K47" s="125"/>
    </row>
    <row r="48" spans="1:11">
      <c r="A48" s="246"/>
      <c r="B48" s="246"/>
      <c r="C48" s="266" t="s">
        <v>21</v>
      </c>
      <c r="D48" s="266"/>
      <c r="E48" s="304">
        <v>0</v>
      </c>
      <c r="F48" s="304"/>
      <c r="G48" s="137">
        <f>+E48/E49</f>
        <v>0</v>
      </c>
      <c r="H48" s="138">
        <v>0</v>
      </c>
      <c r="I48" s="114"/>
      <c r="J48" s="114"/>
      <c r="K48" s="125"/>
    </row>
    <row r="49" spans="1:11">
      <c r="A49" s="246"/>
      <c r="B49" s="246"/>
      <c r="C49" s="139"/>
      <c r="D49" s="249" t="s">
        <v>24</v>
      </c>
      <c r="E49" s="342">
        <f>SUM(E44:F48)</f>
        <v>96240</v>
      </c>
      <c r="F49" s="342"/>
      <c r="G49" s="140">
        <f>SUM(G44:G48)</f>
        <v>1</v>
      </c>
      <c r="H49" s="141">
        <f>SUM(H44:H48)</f>
        <v>3</v>
      </c>
      <c r="I49" s="114"/>
      <c r="J49" s="114"/>
      <c r="K49" s="125"/>
    </row>
    <row r="50" spans="1:11">
      <c r="A50" s="246"/>
      <c r="B50" s="246"/>
      <c r="C50" s="139"/>
      <c r="D50" s="249"/>
      <c r="E50" s="142"/>
      <c r="F50" s="142"/>
      <c r="G50" s="143"/>
      <c r="H50" s="144"/>
      <c r="I50" s="114"/>
      <c r="J50" s="114"/>
      <c r="K50" s="125"/>
    </row>
    <row r="51" spans="1:11">
      <c r="A51" s="246"/>
      <c r="B51" s="246"/>
      <c r="C51" s="139"/>
      <c r="D51" s="249"/>
      <c r="E51" s="142"/>
      <c r="F51" s="142"/>
      <c r="G51" s="143"/>
      <c r="H51" s="144"/>
      <c r="I51" s="114"/>
      <c r="J51" s="114"/>
      <c r="K51" s="125"/>
    </row>
    <row r="52" spans="1:11">
      <c r="A52" s="246"/>
      <c r="B52" s="246"/>
      <c r="C52" s="145"/>
      <c r="D52" s="114"/>
      <c r="E52" s="162"/>
      <c r="F52" s="146"/>
      <c r="G52" s="147"/>
      <c r="H52" s="114"/>
      <c r="I52" s="114"/>
      <c r="J52" s="114"/>
      <c r="K52" s="125"/>
    </row>
    <row r="53" spans="1:11">
      <c r="A53" s="246"/>
      <c r="B53" s="246"/>
      <c r="C53" s="305" t="s">
        <v>7</v>
      </c>
      <c r="D53" s="306"/>
      <c r="E53" s="307"/>
      <c r="F53" s="308" t="s">
        <v>6</v>
      </c>
      <c r="G53" s="301"/>
      <c r="H53" s="248" t="s">
        <v>18</v>
      </c>
      <c r="I53" s="114"/>
      <c r="J53" s="114"/>
      <c r="K53" s="125"/>
    </row>
    <row r="54" spans="1:11">
      <c r="A54" s="246"/>
      <c r="B54" s="246"/>
      <c r="C54" s="302" t="s">
        <v>25</v>
      </c>
      <c r="D54" s="302"/>
      <c r="E54" s="302"/>
      <c r="F54" s="311">
        <v>0</v>
      </c>
      <c r="G54" s="311"/>
      <c r="H54" s="137">
        <f>+F54/F57</f>
        <v>0</v>
      </c>
      <c r="I54" s="114"/>
      <c r="J54" s="114"/>
      <c r="K54" s="125"/>
    </row>
    <row r="55" spans="1:11">
      <c r="A55" s="246"/>
      <c r="B55" s="246"/>
      <c r="C55" s="302" t="s">
        <v>26</v>
      </c>
      <c r="D55" s="302"/>
      <c r="E55" s="302"/>
      <c r="F55" s="304">
        <f>F37</f>
        <v>96240</v>
      </c>
      <c r="G55" s="304"/>
      <c r="H55" s="137">
        <f>+F55/F57</f>
        <v>1</v>
      </c>
      <c r="I55" s="114"/>
      <c r="J55" s="114"/>
      <c r="K55" s="125"/>
    </row>
    <row r="56" spans="1:11">
      <c r="A56" s="246"/>
      <c r="B56" s="246"/>
      <c r="C56" s="246"/>
      <c r="D56" s="246"/>
      <c r="E56" s="246"/>
      <c r="F56" s="247"/>
      <c r="G56" s="247"/>
      <c r="H56" s="137"/>
      <c r="I56" s="114"/>
      <c r="J56" s="114"/>
      <c r="K56" s="125"/>
    </row>
    <row r="57" spans="1:11">
      <c r="A57" s="246"/>
      <c r="B57" s="246"/>
      <c r="C57" s="114"/>
      <c r="D57" s="114" t="s">
        <v>24</v>
      </c>
      <c r="E57" s="114"/>
      <c r="F57" s="309">
        <f>SUM(F54:G55)</f>
        <v>96240</v>
      </c>
      <c r="G57" s="309"/>
      <c r="H57" s="140">
        <f>SUM(H54:H55)</f>
        <v>1</v>
      </c>
      <c r="I57" s="114"/>
      <c r="J57" s="114"/>
      <c r="K57" s="125"/>
    </row>
    <row r="58" spans="1:11">
      <c r="A58" s="246"/>
      <c r="B58" s="246"/>
      <c r="C58" s="114"/>
      <c r="D58" s="114"/>
      <c r="E58" s="114"/>
      <c r="F58" s="133"/>
      <c r="G58" s="133"/>
      <c r="H58" s="143"/>
      <c r="I58" s="114"/>
      <c r="J58" s="114"/>
      <c r="K58" s="125"/>
    </row>
    <row r="59" spans="1:11">
      <c r="A59" s="246"/>
      <c r="B59" s="246"/>
      <c r="C59" s="114"/>
      <c r="D59" s="114"/>
      <c r="E59" s="114"/>
      <c r="F59" s="133"/>
      <c r="G59" s="133"/>
      <c r="H59" s="143"/>
      <c r="I59" s="114"/>
      <c r="J59" s="114"/>
      <c r="K59" s="125"/>
    </row>
    <row r="60" spans="1:11">
      <c r="A60" s="246"/>
      <c r="B60" s="246"/>
      <c r="C60" s="114"/>
      <c r="D60" s="114"/>
      <c r="E60" s="114"/>
      <c r="F60" s="133"/>
      <c r="G60" s="133"/>
      <c r="H60" s="143"/>
      <c r="I60" s="114"/>
      <c r="J60" s="114"/>
      <c r="K60" s="125"/>
    </row>
    <row r="61" spans="1:11">
      <c r="A61" s="246"/>
      <c r="B61" s="246"/>
      <c r="C61" s="114"/>
      <c r="D61" s="114"/>
      <c r="E61" s="114"/>
      <c r="F61" s="133"/>
      <c r="G61" s="133"/>
      <c r="H61" s="143"/>
      <c r="I61" s="114"/>
      <c r="J61" s="114"/>
      <c r="K61" s="125"/>
    </row>
    <row r="62" spans="1:11">
      <c r="A62" s="246"/>
      <c r="B62" s="246"/>
      <c r="C62" s="114"/>
      <c r="D62" s="114"/>
      <c r="E62" s="114"/>
      <c r="F62" s="133"/>
      <c r="G62" s="133"/>
      <c r="H62" s="143"/>
      <c r="I62" s="114"/>
      <c r="J62" s="114"/>
      <c r="K62" s="125"/>
    </row>
    <row r="63" spans="1:11">
      <c r="A63" s="246"/>
      <c r="B63" s="246"/>
      <c r="C63" s="114"/>
      <c r="D63" s="114"/>
      <c r="E63" s="114"/>
      <c r="F63" s="133"/>
      <c r="G63" s="133"/>
      <c r="H63" s="143"/>
      <c r="I63" s="114"/>
      <c r="J63" s="114"/>
      <c r="K63" s="125"/>
    </row>
    <row r="64" spans="1:11">
      <c r="A64" s="246"/>
      <c r="B64" s="246"/>
      <c r="C64" s="114"/>
      <c r="D64" s="125"/>
      <c r="E64" s="310" t="s">
        <v>27</v>
      </c>
      <c r="F64" s="310"/>
      <c r="G64" s="310"/>
      <c r="H64" s="310"/>
      <c r="I64" s="114"/>
      <c r="J64" s="114"/>
      <c r="K64" s="125"/>
    </row>
    <row r="65" spans="1:11">
      <c r="A65" s="246"/>
      <c r="B65" s="246"/>
      <c r="C65" s="114"/>
      <c r="D65" s="148"/>
      <c r="E65" s="114"/>
      <c r="F65" s="114"/>
      <c r="G65" s="114"/>
      <c r="H65" s="114"/>
      <c r="I65" s="114"/>
      <c r="J65" s="114"/>
      <c r="K65" s="125"/>
    </row>
    <row r="66" spans="1:11">
      <c r="A66" s="114"/>
      <c r="B66" s="114"/>
      <c r="C66" s="114"/>
      <c r="D66" s="149" t="s">
        <v>28</v>
      </c>
      <c r="E66" s="275">
        <v>2020</v>
      </c>
      <c r="F66" s="276"/>
      <c r="G66" s="275">
        <v>2021</v>
      </c>
      <c r="H66" s="276"/>
      <c r="I66" s="114"/>
      <c r="J66" s="114"/>
      <c r="K66" s="125"/>
    </row>
    <row r="67" spans="1:11">
      <c r="A67" s="114"/>
      <c r="B67" s="114"/>
      <c r="C67" s="114"/>
      <c r="D67" s="150" t="s">
        <v>29</v>
      </c>
      <c r="E67" s="151" t="s">
        <v>30</v>
      </c>
      <c r="F67" s="151" t="s">
        <v>31</v>
      </c>
      <c r="G67" s="151" t="s">
        <v>30</v>
      </c>
      <c r="H67" s="151" t="s">
        <v>31</v>
      </c>
      <c r="I67" s="114"/>
      <c r="J67" s="114"/>
      <c r="K67" s="125"/>
    </row>
    <row r="68" spans="1:11">
      <c r="A68" s="114"/>
      <c r="B68" s="114"/>
      <c r="C68" s="114"/>
      <c r="D68" s="152"/>
      <c r="E68" s="153"/>
      <c r="F68" s="27"/>
      <c r="G68" s="153"/>
      <c r="H68" s="154"/>
      <c r="I68" s="114"/>
      <c r="J68" s="114"/>
      <c r="K68" s="125"/>
    </row>
    <row r="69" spans="1:11">
      <c r="A69" s="114"/>
      <c r="B69" s="114"/>
      <c r="C69" s="114"/>
      <c r="D69" s="155" t="s">
        <v>32</v>
      </c>
      <c r="E69" s="84">
        <f>'SEP 2021'!E72</f>
        <v>417.84</v>
      </c>
      <c r="F69" s="177">
        <v>15</v>
      </c>
      <c r="G69" s="156">
        <f>'ENE 2021'!G46</f>
        <v>1008.93</v>
      </c>
      <c r="H69" s="157">
        <f>'ENE 2021'!H55</f>
        <v>32</v>
      </c>
      <c r="I69" s="114"/>
      <c r="J69" s="114"/>
      <c r="K69" s="125"/>
    </row>
    <row r="70" spans="1:11">
      <c r="A70" s="114"/>
      <c r="B70" s="114"/>
      <c r="C70" s="114"/>
      <c r="D70" s="158" t="s">
        <v>38</v>
      </c>
      <c r="E70" s="31">
        <f>'SEP 2021'!E73</f>
        <v>591.57000000000005</v>
      </c>
      <c r="F70" s="178">
        <v>22</v>
      </c>
      <c r="G70" s="159">
        <f>'FEB 2021'!G48</f>
        <v>719.82</v>
      </c>
      <c r="H70" s="160">
        <f>'FEB 2021'!H57</f>
        <v>25</v>
      </c>
      <c r="I70" s="114"/>
      <c r="J70" s="114"/>
      <c r="K70" s="125"/>
    </row>
    <row r="71" spans="1:11">
      <c r="A71" s="114"/>
      <c r="B71" s="114"/>
      <c r="C71" s="114"/>
      <c r="D71" s="161" t="s">
        <v>40</v>
      </c>
      <c r="E71" s="31">
        <f>'SEP 2021'!E74</f>
        <v>408.24</v>
      </c>
      <c r="F71" s="178">
        <v>13</v>
      </c>
      <c r="G71" s="159">
        <f>'MAR 2021'!G43</f>
        <v>815.73</v>
      </c>
      <c r="H71" s="160">
        <f>'MAR 2021'!H51</f>
        <v>26</v>
      </c>
      <c r="I71" s="114"/>
      <c r="J71" s="114"/>
      <c r="K71" s="125"/>
    </row>
    <row r="72" spans="1:11">
      <c r="A72" s="114"/>
      <c r="B72" s="114"/>
      <c r="C72" s="114"/>
      <c r="D72" s="161" t="s">
        <v>43</v>
      </c>
      <c r="E72" s="31">
        <f>'SEP 2021'!E75</f>
        <v>188.13</v>
      </c>
      <c r="F72" s="178">
        <v>6</v>
      </c>
      <c r="G72" s="162">
        <f>'ABR 2021'!G41</f>
        <v>323.73</v>
      </c>
      <c r="H72" s="160">
        <f>'ABR 2021'!H50</f>
        <v>11</v>
      </c>
      <c r="I72" s="114"/>
      <c r="J72" s="114"/>
      <c r="K72" s="125"/>
    </row>
    <row r="73" spans="1:11">
      <c r="A73" s="114"/>
      <c r="B73" s="114"/>
      <c r="C73" s="114"/>
      <c r="D73" s="158" t="s">
        <v>45</v>
      </c>
      <c r="E73" s="31">
        <f>'SEP 2021'!E76</f>
        <v>279.93</v>
      </c>
      <c r="F73" s="178">
        <v>8</v>
      </c>
      <c r="G73" s="159">
        <f>'MAY 2021'!G44</f>
        <v>142.35</v>
      </c>
      <c r="H73" s="160">
        <f>'MAY 2021'!H52</f>
        <v>6</v>
      </c>
      <c r="I73" s="114"/>
      <c r="J73" s="114"/>
      <c r="K73" s="125"/>
    </row>
    <row r="74" spans="1:11">
      <c r="A74" s="114"/>
      <c r="B74" s="114"/>
      <c r="C74" s="114"/>
      <c r="D74" s="161" t="s">
        <v>47</v>
      </c>
      <c r="E74" s="31">
        <f>'SEP 2021'!E77</f>
        <v>202.08</v>
      </c>
      <c r="F74" s="178">
        <v>7</v>
      </c>
      <c r="G74" s="159">
        <f>'JUN 2021'!G33</f>
        <v>189.81</v>
      </c>
      <c r="H74" s="160">
        <f>'JUN 2021'!H42</f>
        <v>6</v>
      </c>
      <c r="I74" s="114"/>
      <c r="J74" s="114"/>
      <c r="K74" s="125"/>
    </row>
    <row r="75" spans="1:11">
      <c r="A75" s="114"/>
      <c r="B75" s="114"/>
      <c r="C75" s="114"/>
      <c r="D75" s="161" t="s">
        <v>55</v>
      </c>
      <c r="E75" s="31">
        <f>'SEP 2021'!E78</f>
        <v>178.92</v>
      </c>
      <c r="F75" s="178">
        <v>6</v>
      </c>
      <c r="G75" s="162">
        <f>'JUL 2021'!G33</f>
        <v>288.27</v>
      </c>
      <c r="H75" s="160">
        <f>'JUL 2021'!H42</f>
        <v>7</v>
      </c>
      <c r="I75" s="114"/>
      <c r="J75" s="114"/>
      <c r="K75" s="125"/>
    </row>
    <row r="76" spans="1:11">
      <c r="A76" s="114"/>
      <c r="B76" s="114"/>
      <c r="C76" s="114"/>
      <c r="D76" s="161" t="s">
        <v>59</v>
      </c>
      <c r="E76" s="31">
        <f>'SEP 2021'!E79</f>
        <v>155.82</v>
      </c>
      <c r="F76" s="178">
        <v>6</v>
      </c>
      <c r="G76" s="162">
        <f>'AGO 2021'!G32</f>
        <v>642.03</v>
      </c>
      <c r="H76" s="32">
        <f>'AGO 2021'!H40</f>
        <v>12</v>
      </c>
      <c r="I76" s="114"/>
      <c r="J76" s="114"/>
      <c r="K76" s="125"/>
    </row>
    <row r="77" spans="1:11">
      <c r="A77" s="114"/>
      <c r="B77" s="114"/>
      <c r="C77" s="114"/>
      <c r="D77" s="161" t="s">
        <v>62</v>
      </c>
      <c r="E77" s="31">
        <f>'SEP 2021'!E80</f>
        <v>414.9</v>
      </c>
      <c r="F77" s="178">
        <v>11</v>
      </c>
      <c r="G77" s="162">
        <f>'SEP 2021'!G43</f>
        <v>288.39</v>
      </c>
      <c r="H77" s="160">
        <f>'SEP 2021'!H53</f>
        <v>7</v>
      </c>
      <c r="I77" s="114"/>
      <c r="J77" s="114"/>
      <c r="K77" s="125"/>
    </row>
    <row r="78" spans="1:11">
      <c r="A78" s="114"/>
      <c r="B78" s="114"/>
      <c r="C78" s="114"/>
      <c r="D78" s="163" t="s">
        <v>64</v>
      </c>
      <c r="E78" s="164">
        <v>417.42</v>
      </c>
      <c r="F78" s="200">
        <v>9</v>
      </c>
      <c r="G78" s="166">
        <f>G39</f>
        <v>96.24</v>
      </c>
      <c r="H78" s="165">
        <f>H49</f>
        <v>3</v>
      </c>
      <c r="I78" s="114"/>
      <c r="J78" s="114"/>
      <c r="K78" s="125"/>
    </row>
    <row r="79" spans="1:11">
      <c r="A79" s="114"/>
      <c r="B79" s="114"/>
      <c r="C79" s="114"/>
      <c r="D79" s="114"/>
      <c r="E79" s="114"/>
      <c r="F79" s="114"/>
      <c r="G79" s="114"/>
      <c r="H79" s="114"/>
      <c r="I79" s="114"/>
      <c r="J79" s="114"/>
      <c r="K79" s="125"/>
    </row>
    <row r="80" spans="1:11">
      <c r="A80" s="114"/>
      <c r="B80" s="114"/>
      <c r="C80" s="114"/>
      <c r="D80" s="114"/>
      <c r="E80" s="167">
        <f>SUM(E69:E79)</f>
        <v>3254.8500000000008</v>
      </c>
      <c r="F80" s="168">
        <f>SUM(F69:F79)</f>
        <v>103</v>
      </c>
      <c r="G80" s="167">
        <f>SUM(G69:G79)</f>
        <v>4515.3</v>
      </c>
      <c r="H80" s="168">
        <f>SUM(H69:H79)</f>
        <v>135</v>
      </c>
      <c r="I80" s="114"/>
      <c r="J80" s="114"/>
      <c r="K80" s="125"/>
    </row>
    <row r="81" spans="1:10">
      <c r="A81" s="114"/>
      <c r="B81" s="114"/>
      <c r="C81" s="114"/>
      <c r="D81" s="114"/>
      <c r="E81" s="114"/>
      <c r="F81" s="114"/>
      <c r="G81" s="114"/>
      <c r="H81" s="114"/>
      <c r="I81" s="114"/>
      <c r="J81" s="114"/>
    </row>
    <row r="82" spans="1:10">
      <c r="A82" s="114"/>
      <c r="B82" s="114"/>
      <c r="C82" s="114"/>
      <c r="D82" s="114"/>
      <c r="E82" s="114"/>
      <c r="F82" s="114"/>
      <c r="G82" s="114"/>
      <c r="H82" s="114"/>
      <c r="I82" s="114"/>
      <c r="J82" s="114"/>
    </row>
    <row r="83" spans="1:10">
      <c r="A83" s="125"/>
      <c r="B83" s="125"/>
      <c r="C83" s="125"/>
      <c r="D83" s="125"/>
      <c r="E83" s="125"/>
      <c r="F83" s="125"/>
      <c r="G83" s="125"/>
      <c r="H83" s="125"/>
      <c r="I83" s="125"/>
      <c r="J83" s="125"/>
    </row>
    <row r="84" spans="1:10">
      <c r="A84" s="125"/>
      <c r="B84" s="125"/>
      <c r="C84" s="125"/>
      <c r="D84" s="125"/>
      <c r="E84" s="125"/>
      <c r="F84" s="125"/>
      <c r="G84" s="125"/>
      <c r="H84" s="125"/>
      <c r="I84" s="125"/>
      <c r="J84" s="125"/>
    </row>
    <row r="85" spans="1:10">
      <c r="A85" s="125"/>
      <c r="B85" s="125"/>
      <c r="C85" s="125"/>
      <c r="D85" s="125"/>
      <c r="E85" s="125"/>
      <c r="F85" s="125"/>
      <c r="G85" s="125"/>
      <c r="H85" s="125"/>
      <c r="I85" s="125"/>
      <c r="J85" s="125"/>
    </row>
    <row r="86" spans="1:10">
      <c r="A86" s="125"/>
      <c r="B86" s="125"/>
      <c r="C86" s="125"/>
      <c r="D86" s="125"/>
      <c r="E86" s="125"/>
      <c r="F86" s="125"/>
      <c r="G86" s="125"/>
      <c r="H86" s="125"/>
      <c r="I86" s="125"/>
      <c r="J86" s="125"/>
    </row>
    <row r="87" spans="1:10">
      <c r="A87" s="125"/>
      <c r="B87" s="125"/>
      <c r="C87" s="125"/>
      <c r="D87" s="125"/>
      <c r="E87" s="125"/>
      <c r="F87" s="125"/>
      <c r="G87" s="125"/>
      <c r="H87" s="125"/>
      <c r="I87" s="125"/>
      <c r="J87" s="125"/>
    </row>
    <row r="88" spans="1:10">
      <c r="A88" s="125"/>
      <c r="B88" s="125"/>
      <c r="C88" s="125"/>
      <c r="D88" s="125"/>
      <c r="E88" s="125"/>
      <c r="F88" s="125"/>
      <c r="G88" s="125"/>
      <c r="H88" s="125"/>
      <c r="I88" s="125"/>
      <c r="J88" s="125"/>
    </row>
    <row r="89" spans="1:10">
      <c r="A89" s="125"/>
      <c r="B89" s="125"/>
      <c r="C89" s="125"/>
      <c r="D89" s="125"/>
      <c r="E89" s="125"/>
      <c r="F89" s="125"/>
      <c r="G89" s="125"/>
      <c r="H89" s="125"/>
      <c r="I89" s="125"/>
      <c r="J89" s="125"/>
    </row>
    <row r="90" spans="1:10">
      <c r="A90" s="125"/>
      <c r="B90" s="125"/>
      <c r="C90" s="125"/>
      <c r="D90" s="125"/>
      <c r="E90" s="125"/>
      <c r="F90" s="125"/>
      <c r="G90" s="125"/>
      <c r="H90" s="125"/>
      <c r="I90" s="125"/>
      <c r="J90" s="125"/>
    </row>
    <row r="91" spans="1:10">
      <c r="A91" s="125"/>
      <c r="B91" s="125"/>
      <c r="C91" s="125"/>
      <c r="D91" s="125"/>
      <c r="E91" s="125"/>
      <c r="F91" s="125"/>
      <c r="G91" s="125"/>
      <c r="H91" s="125"/>
      <c r="I91" s="125"/>
      <c r="J91" s="125"/>
    </row>
    <row r="92" spans="1:10">
      <c r="A92" s="125"/>
      <c r="B92" s="125"/>
      <c r="C92" s="125"/>
      <c r="D92" s="125"/>
      <c r="E92" s="125"/>
      <c r="F92" s="125"/>
      <c r="G92" s="125"/>
      <c r="H92" s="125"/>
      <c r="I92" s="125"/>
      <c r="J92" s="125"/>
    </row>
    <row r="93" spans="1:10">
      <c r="A93" s="125"/>
      <c r="B93" s="125"/>
      <c r="C93" s="125"/>
      <c r="D93" s="125"/>
      <c r="E93" s="125"/>
      <c r="F93" s="125"/>
      <c r="G93" s="125"/>
      <c r="H93" s="125"/>
      <c r="I93" s="125"/>
      <c r="J93" s="125"/>
    </row>
    <row r="94" spans="1:10">
      <c r="A94" s="125"/>
      <c r="B94" s="125"/>
      <c r="C94" s="125"/>
      <c r="D94" s="125"/>
      <c r="E94" s="125"/>
      <c r="F94" s="125"/>
      <c r="G94" s="125"/>
      <c r="H94" s="125"/>
      <c r="I94" s="125"/>
      <c r="J94" s="125"/>
    </row>
    <row r="95" spans="1:10">
      <c r="A95" s="125"/>
      <c r="B95" s="125"/>
      <c r="C95" s="125"/>
      <c r="D95" s="125"/>
      <c r="E95" s="125"/>
      <c r="F95" s="125"/>
      <c r="G95" s="125"/>
      <c r="H95" s="125"/>
      <c r="I95" s="125"/>
      <c r="J95" s="125"/>
    </row>
    <row r="96" spans="1:10">
      <c r="A96" s="125"/>
      <c r="B96" s="125"/>
      <c r="C96" s="125"/>
      <c r="D96" s="125"/>
      <c r="E96" s="125"/>
      <c r="F96" s="125"/>
      <c r="G96" s="125"/>
      <c r="H96" s="125"/>
      <c r="I96" s="125"/>
      <c r="J96" s="125"/>
    </row>
    <row r="97" spans="1:10">
      <c r="A97" s="125"/>
      <c r="B97" s="125"/>
      <c r="C97" s="125"/>
      <c r="D97" s="125"/>
      <c r="E97" s="125"/>
      <c r="F97" s="125"/>
      <c r="G97" s="125"/>
      <c r="H97" s="125"/>
      <c r="I97" s="125"/>
      <c r="J97" s="125"/>
    </row>
    <row r="98" spans="1:10">
      <c r="A98" s="125"/>
      <c r="B98" s="125"/>
      <c r="C98" s="125"/>
      <c r="D98" s="125"/>
      <c r="E98" s="125"/>
      <c r="F98" s="125"/>
      <c r="G98" s="125"/>
      <c r="H98" s="125"/>
      <c r="I98" s="125"/>
      <c r="J98" s="125"/>
    </row>
    <row r="99" spans="1:10">
      <c r="A99" s="125"/>
      <c r="B99" s="125"/>
      <c r="C99" s="125"/>
      <c r="D99" s="125"/>
      <c r="E99" s="125"/>
      <c r="F99" s="125"/>
      <c r="G99" s="125"/>
      <c r="H99" s="125"/>
      <c r="I99" s="125"/>
      <c r="J99" s="125"/>
    </row>
    <row r="100" spans="1:10">
      <c r="A100" s="125"/>
      <c r="B100" s="125"/>
      <c r="C100" s="125"/>
      <c r="D100" s="125"/>
      <c r="E100" s="125"/>
      <c r="F100" s="125"/>
      <c r="G100" s="125"/>
      <c r="H100" s="125"/>
      <c r="I100" s="125"/>
      <c r="J100" s="125"/>
    </row>
    <row r="101" spans="1:10">
      <c r="A101" s="125"/>
      <c r="B101" s="125"/>
      <c r="C101" s="125"/>
      <c r="D101" s="125"/>
      <c r="E101" s="125"/>
      <c r="F101" s="125"/>
      <c r="G101" s="125"/>
      <c r="H101" s="125"/>
      <c r="I101" s="125"/>
      <c r="J101" s="125"/>
    </row>
    <row r="102" spans="1:10">
      <c r="A102" s="125"/>
      <c r="B102" s="125"/>
      <c r="C102" s="125"/>
      <c r="D102" s="125"/>
      <c r="E102" s="125"/>
      <c r="F102" s="125"/>
      <c r="G102" s="125"/>
      <c r="H102" s="125"/>
      <c r="I102" s="125"/>
      <c r="J102" s="125"/>
    </row>
    <row r="103" spans="1:10">
      <c r="A103" s="125"/>
      <c r="B103" s="125"/>
      <c r="C103" s="125"/>
      <c r="D103" s="125"/>
      <c r="E103" s="125"/>
      <c r="F103" s="125"/>
      <c r="G103" s="125"/>
      <c r="H103" s="125"/>
      <c r="I103" s="125"/>
      <c r="J103" s="125"/>
    </row>
    <row r="104" spans="1:10">
      <c r="A104" s="125"/>
      <c r="B104" s="125"/>
      <c r="C104" s="125"/>
      <c r="D104" s="125"/>
      <c r="E104" s="125"/>
      <c r="F104" s="125"/>
      <c r="G104" s="125"/>
      <c r="H104" s="125"/>
      <c r="I104" s="125"/>
      <c r="J104" s="125"/>
    </row>
    <row r="105" spans="1:10">
      <c r="A105" s="125"/>
      <c r="B105" s="125"/>
      <c r="C105" s="125"/>
      <c r="D105" s="125"/>
      <c r="E105" s="125"/>
      <c r="F105" s="125"/>
      <c r="G105" s="125"/>
      <c r="H105" s="125"/>
      <c r="I105" s="125"/>
      <c r="J105" s="125"/>
    </row>
    <row r="106" spans="1:10">
      <c r="A106" s="125"/>
      <c r="B106" s="125"/>
      <c r="C106" s="125"/>
      <c r="D106" s="125"/>
      <c r="E106" s="125"/>
      <c r="F106" s="125"/>
      <c r="G106" s="125"/>
      <c r="H106" s="125"/>
      <c r="I106" s="125"/>
      <c r="J106" s="125"/>
    </row>
    <row r="107" spans="1:10">
      <c r="A107" s="125"/>
      <c r="B107" s="125"/>
      <c r="C107" s="125"/>
      <c r="D107" s="125"/>
      <c r="E107" s="125"/>
      <c r="F107" s="125"/>
      <c r="G107" s="125"/>
      <c r="H107" s="125"/>
      <c r="I107" s="125"/>
      <c r="J107" s="125"/>
    </row>
    <row r="108" spans="1:10">
      <c r="A108" s="125"/>
      <c r="B108" s="125"/>
      <c r="C108" s="125"/>
      <c r="D108" s="125"/>
      <c r="E108" s="125"/>
      <c r="F108" s="125"/>
      <c r="G108" s="125"/>
      <c r="H108" s="125"/>
      <c r="I108" s="125"/>
      <c r="J108" s="125"/>
    </row>
    <row r="109" spans="1:10">
      <c r="A109" s="125"/>
      <c r="B109" s="125"/>
      <c r="C109" s="125"/>
      <c r="D109" s="125"/>
      <c r="E109" s="125"/>
      <c r="F109" s="125"/>
      <c r="G109" s="125"/>
      <c r="H109" s="125"/>
      <c r="I109" s="125"/>
      <c r="J109" s="125"/>
    </row>
    <row r="110" spans="1:10">
      <c r="A110" s="125"/>
      <c r="B110" s="125"/>
      <c r="C110" s="125"/>
      <c r="D110" s="125"/>
      <c r="E110" s="125"/>
      <c r="F110" s="125"/>
      <c r="G110" s="125"/>
      <c r="H110" s="125"/>
      <c r="I110" s="125"/>
      <c r="J110" s="125"/>
    </row>
    <row r="111" spans="1:10">
      <c r="A111" s="125"/>
      <c r="B111" s="125"/>
      <c r="C111" s="125"/>
      <c r="D111" s="125"/>
      <c r="E111" s="125"/>
      <c r="F111" s="125"/>
      <c r="G111" s="125"/>
      <c r="H111" s="125"/>
      <c r="I111" s="125"/>
      <c r="J111" s="125"/>
    </row>
    <row r="112" spans="1:10">
      <c r="A112" s="125"/>
      <c r="B112" s="125"/>
      <c r="C112" s="125"/>
      <c r="D112" s="125"/>
      <c r="E112" s="125"/>
      <c r="F112" s="125"/>
      <c r="G112" s="125"/>
      <c r="H112" s="125"/>
      <c r="I112" s="125"/>
      <c r="J112" s="125"/>
    </row>
    <row r="113" spans="1:10">
      <c r="A113" s="125"/>
      <c r="B113" s="125"/>
      <c r="C113" s="125"/>
      <c r="D113" s="125"/>
      <c r="E113" s="125"/>
      <c r="F113" s="125"/>
      <c r="G113" s="125"/>
      <c r="H113" s="125"/>
      <c r="I113" s="125"/>
      <c r="J113" s="125"/>
    </row>
    <row r="114" spans="1:10">
      <c r="A114" s="125"/>
      <c r="B114" s="125"/>
      <c r="C114" s="125"/>
      <c r="D114" s="125"/>
      <c r="E114" s="125"/>
      <c r="F114" s="125"/>
      <c r="G114" s="125"/>
      <c r="H114" s="125"/>
      <c r="I114" s="125"/>
      <c r="J114" s="125"/>
    </row>
    <row r="115" spans="1:10">
      <c r="A115" s="125"/>
      <c r="B115" s="125"/>
      <c r="C115" s="125"/>
      <c r="D115" s="125"/>
      <c r="E115" s="125"/>
      <c r="F115" s="125"/>
      <c r="G115" s="125"/>
      <c r="H115" s="125"/>
      <c r="I115" s="125"/>
      <c r="J115" s="125"/>
    </row>
    <row r="116" spans="1:10">
      <c r="A116" s="125"/>
      <c r="B116" s="125"/>
      <c r="C116" s="125"/>
      <c r="D116" s="125"/>
      <c r="E116" s="125"/>
      <c r="F116" s="125"/>
      <c r="G116" s="125"/>
      <c r="H116" s="125"/>
      <c r="I116" s="125"/>
      <c r="J116" s="125"/>
    </row>
    <row r="117" spans="1:10">
      <c r="A117" s="125"/>
      <c r="B117" s="125"/>
      <c r="C117" s="125"/>
      <c r="D117" s="125"/>
      <c r="E117" s="125"/>
      <c r="F117" s="125"/>
      <c r="G117" s="125"/>
      <c r="H117" s="125"/>
      <c r="I117" s="125"/>
      <c r="J117" s="125"/>
    </row>
    <row r="118" spans="1:10">
      <c r="A118" s="125"/>
      <c r="B118" s="125"/>
      <c r="C118" s="125"/>
      <c r="D118" s="125"/>
      <c r="E118" s="125"/>
      <c r="F118" s="125"/>
      <c r="G118" s="125"/>
      <c r="H118" s="125"/>
      <c r="I118" s="125"/>
      <c r="J118" s="125"/>
    </row>
    <row r="119" spans="1:10">
      <c r="A119" s="125"/>
      <c r="B119" s="125"/>
      <c r="C119" s="125"/>
      <c r="D119" s="125"/>
      <c r="E119" s="125"/>
      <c r="F119" s="125"/>
      <c r="G119" s="125"/>
      <c r="H119" s="125"/>
      <c r="I119" s="125"/>
      <c r="J119" s="125"/>
    </row>
    <row r="120" spans="1:10">
      <c r="A120" s="125"/>
      <c r="B120" s="125"/>
      <c r="C120" s="125"/>
      <c r="D120" s="125"/>
      <c r="E120" s="125"/>
      <c r="F120" s="125"/>
      <c r="G120" s="125"/>
      <c r="H120" s="125"/>
      <c r="I120" s="125"/>
      <c r="J120" s="125"/>
    </row>
    <row r="121" spans="1:10">
      <c r="A121" s="125"/>
      <c r="B121" s="125"/>
      <c r="C121" s="125"/>
      <c r="D121" s="125"/>
      <c r="E121" s="125"/>
      <c r="F121" s="125"/>
      <c r="G121" s="125"/>
      <c r="H121" s="125"/>
      <c r="I121" s="125"/>
      <c r="J121" s="125"/>
    </row>
    <row r="122" spans="1:10">
      <c r="A122" s="125"/>
      <c r="B122" s="125"/>
      <c r="C122" s="125"/>
      <c r="D122" s="125"/>
      <c r="E122" s="125"/>
      <c r="F122" s="125"/>
      <c r="G122" s="125"/>
      <c r="H122" s="125"/>
      <c r="I122" s="125"/>
      <c r="J122" s="125"/>
    </row>
    <row r="123" spans="1:10">
      <c r="A123" s="125"/>
      <c r="B123" s="125"/>
      <c r="C123" s="125"/>
      <c r="D123" s="125"/>
      <c r="E123" s="125"/>
      <c r="F123" s="125"/>
      <c r="G123" s="125"/>
      <c r="H123" s="125"/>
      <c r="I123" s="125"/>
      <c r="J123" s="125"/>
    </row>
    <row r="124" spans="1:10">
      <c r="A124" s="125"/>
      <c r="B124" s="125"/>
      <c r="C124" s="125"/>
      <c r="D124" s="125"/>
      <c r="E124" s="125"/>
      <c r="F124" s="125"/>
      <c r="G124" s="125"/>
      <c r="H124" s="125"/>
      <c r="I124" s="125"/>
      <c r="J124" s="125"/>
    </row>
    <row r="125" spans="1:10">
      <c r="A125" s="125"/>
      <c r="B125" s="125"/>
      <c r="C125" s="125"/>
      <c r="D125" s="125"/>
      <c r="E125" s="125"/>
      <c r="F125" s="125"/>
      <c r="G125" s="125"/>
      <c r="H125" s="125"/>
      <c r="I125" s="125"/>
      <c r="J125" s="125"/>
    </row>
    <row r="126" spans="1:10">
      <c r="A126" s="125"/>
      <c r="B126" s="125"/>
      <c r="C126" s="125"/>
      <c r="D126" s="125"/>
      <c r="E126" s="125"/>
      <c r="F126" s="125"/>
      <c r="G126" s="125"/>
      <c r="H126" s="125"/>
      <c r="I126" s="125"/>
      <c r="J126" s="125"/>
    </row>
    <row r="127" spans="1:10">
      <c r="A127" s="125"/>
      <c r="B127" s="125"/>
      <c r="C127" s="125"/>
      <c r="D127" s="125"/>
      <c r="E127" s="125"/>
      <c r="F127" s="125"/>
      <c r="G127" s="125"/>
      <c r="H127" s="125"/>
      <c r="I127" s="125"/>
      <c r="J127" s="125"/>
    </row>
    <row r="128" spans="1:10">
      <c r="A128" s="125"/>
      <c r="B128" s="125"/>
      <c r="C128" s="125"/>
      <c r="D128" s="125"/>
      <c r="E128" s="125"/>
      <c r="F128" s="125"/>
      <c r="G128" s="125"/>
      <c r="H128" s="125"/>
      <c r="I128" s="125"/>
      <c r="J128" s="125"/>
    </row>
    <row r="129" spans="1:10">
      <c r="A129" s="125"/>
      <c r="B129" s="125"/>
      <c r="C129" s="125"/>
      <c r="D129" s="125"/>
      <c r="E129" s="125"/>
      <c r="F129" s="125"/>
      <c r="G129" s="125"/>
      <c r="H129" s="125"/>
      <c r="I129" s="125"/>
      <c r="J129" s="125"/>
    </row>
    <row r="130" spans="1:10">
      <c r="A130" s="125"/>
      <c r="B130" s="125"/>
      <c r="C130" s="125"/>
      <c r="D130" s="125"/>
      <c r="E130" s="125"/>
      <c r="F130" s="125"/>
      <c r="G130" s="125"/>
      <c r="H130" s="125"/>
      <c r="I130" s="125"/>
      <c r="J130" s="125"/>
    </row>
  </sheetData>
  <mergeCells count="107">
    <mergeCell ref="E7:H7"/>
    <mergeCell ref="H33:J33"/>
    <mergeCell ref="F14:G14"/>
    <mergeCell ref="H17:J17"/>
    <mergeCell ref="H18:J18"/>
    <mergeCell ref="H19:J19"/>
    <mergeCell ref="H20:J20"/>
    <mergeCell ref="H21:J21"/>
    <mergeCell ref="H22:J22"/>
    <mergeCell ref="F25:G25"/>
    <mergeCell ref="D10:E10"/>
    <mergeCell ref="F10:G10"/>
    <mergeCell ref="H10:J10"/>
    <mergeCell ref="D11:E11"/>
    <mergeCell ref="F11:G11"/>
    <mergeCell ref="H11:J11"/>
    <mergeCell ref="D12:E12"/>
    <mergeCell ref="F12:G12"/>
    <mergeCell ref="F13:G13"/>
    <mergeCell ref="F17:G17"/>
    <mergeCell ref="F18:G18"/>
    <mergeCell ref="F19:G19"/>
    <mergeCell ref="H14:J14"/>
    <mergeCell ref="H15:J15"/>
    <mergeCell ref="E49:F49"/>
    <mergeCell ref="F15:G15"/>
    <mergeCell ref="F16:G16"/>
    <mergeCell ref="F20:G20"/>
    <mergeCell ref="F21:G21"/>
    <mergeCell ref="F22:G22"/>
    <mergeCell ref="F23:G23"/>
    <mergeCell ref="F24:G24"/>
    <mergeCell ref="D17:E17"/>
    <mergeCell ref="D18:E18"/>
    <mergeCell ref="D19:E19"/>
    <mergeCell ref="D20:E20"/>
    <mergeCell ref="D21:E21"/>
    <mergeCell ref="D22:E22"/>
    <mergeCell ref="D23:E23"/>
    <mergeCell ref="E48:F48"/>
    <mergeCell ref="E45:F45"/>
    <mergeCell ref="E44:F44"/>
    <mergeCell ref="E47:F47"/>
    <mergeCell ref="C48:D48"/>
    <mergeCell ref="D39:E39"/>
    <mergeCell ref="C45:D45"/>
    <mergeCell ref="C47:D47"/>
    <mergeCell ref="F37:G37"/>
    <mergeCell ref="G66:H66"/>
    <mergeCell ref="C53:E53"/>
    <mergeCell ref="F53:G53"/>
    <mergeCell ref="C54:E54"/>
    <mergeCell ref="C55:E55"/>
    <mergeCell ref="E66:F66"/>
    <mergeCell ref="F57:G57"/>
    <mergeCell ref="E64:H64"/>
    <mergeCell ref="F54:G54"/>
    <mergeCell ref="F55:G55"/>
    <mergeCell ref="D36:E36"/>
    <mergeCell ref="D32:E32"/>
    <mergeCell ref="D33:E33"/>
    <mergeCell ref="F31:G31"/>
    <mergeCell ref="F36:G36"/>
    <mergeCell ref="D29:E29"/>
    <mergeCell ref="D30:E30"/>
    <mergeCell ref="F30:G30"/>
    <mergeCell ref="H29:J29"/>
    <mergeCell ref="H30:J30"/>
    <mergeCell ref="H31:J31"/>
    <mergeCell ref="H32:J32"/>
    <mergeCell ref="D31:E31"/>
    <mergeCell ref="H36:J36"/>
    <mergeCell ref="D35:E35"/>
    <mergeCell ref="D24:E24"/>
    <mergeCell ref="D25:E25"/>
    <mergeCell ref="D26:E26"/>
    <mergeCell ref="D27:E27"/>
    <mergeCell ref="H23:J23"/>
    <mergeCell ref="H24:J24"/>
    <mergeCell ref="D16:E16"/>
    <mergeCell ref="D28:E28"/>
    <mergeCell ref="H25:J25"/>
    <mergeCell ref="H26:J26"/>
    <mergeCell ref="C43:D43"/>
    <mergeCell ref="E43:F43"/>
    <mergeCell ref="C44:D44"/>
    <mergeCell ref="C46:D46"/>
    <mergeCell ref="E46:F46"/>
    <mergeCell ref="H12:J12"/>
    <mergeCell ref="D13:E13"/>
    <mergeCell ref="D14:E14"/>
    <mergeCell ref="D15:E15"/>
    <mergeCell ref="F35:G35"/>
    <mergeCell ref="H35:J35"/>
    <mergeCell ref="D34:E34"/>
    <mergeCell ref="F34:G34"/>
    <mergeCell ref="H34:J34"/>
    <mergeCell ref="H13:J13"/>
    <mergeCell ref="F26:G26"/>
    <mergeCell ref="F32:G32"/>
    <mergeCell ref="F33:G33"/>
    <mergeCell ref="H28:J28"/>
    <mergeCell ref="F27:G27"/>
    <mergeCell ref="F28:G28"/>
    <mergeCell ref="H27:J27"/>
    <mergeCell ref="F29:G29"/>
    <mergeCell ref="H16:J16"/>
  </mergeCells>
  <phoneticPr fontId="0" type="noConversion"/>
  <pageMargins left="0.59055118110236227" right="0.75" top="1" bottom="1" header="0" footer="0"/>
  <pageSetup paperSize="9" scale="59" orientation="portrait" r:id="rId1"/>
  <headerFooter alignWithMargins="0"/>
  <rowBreaks count="1" manualBreakCount="1">
    <brk id="87" max="9" man="1"/>
  </row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J144"/>
  <sheetViews>
    <sheetView showGridLines="0" topLeftCell="A37" zoomScaleNormal="100" zoomScaleSheetLayoutView="75" workbookViewId="0">
      <selection activeCell="H77" sqref="H77"/>
    </sheetView>
  </sheetViews>
  <sheetFormatPr defaultColWidth="9.140625" defaultRowHeight="12.75"/>
  <cols>
    <col min="1" max="1" width="4.28515625" style="126" customWidth="1"/>
    <col min="2" max="2" width="4.28515625" customWidth="1"/>
    <col min="3" max="10" width="12.42578125" customWidth="1"/>
    <col min="11" max="256" width="11.42578125" customWidth="1"/>
  </cols>
  <sheetData>
    <row r="1" spans="1:10">
      <c r="A1" s="124"/>
      <c r="B1" s="3"/>
      <c r="C1" s="4"/>
      <c r="D1" s="4"/>
      <c r="E1" s="4"/>
      <c r="F1" s="4"/>
      <c r="G1" s="4"/>
      <c r="H1" s="4"/>
      <c r="I1" s="4"/>
      <c r="J1" s="4"/>
    </row>
    <row r="2" spans="1:10">
      <c r="A2" s="127"/>
      <c r="B2" s="5"/>
      <c r="C2" s="3"/>
      <c r="D2" s="3"/>
      <c r="E2" s="3"/>
      <c r="F2" s="3"/>
      <c r="G2" s="3"/>
      <c r="H2" s="3"/>
      <c r="I2" s="3"/>
      <c r="J2" s="3"/>
    </row>
    <row r="3" spans="1:10">
      <c r="A3" s="127"/>
      <c r="B3" s="5"/>
      <c r="C3" s="3"/>
      <c r="D3" s="3"/>
      <c r="E3" s="3"/>
      <c r="F3" s="3"/>
      <c r="G3" s="3"/>
      <c r="H3" s="3"/>
      <c r="I3" s="3"/>
      <c r="J3" s="3"/>
    </row>
    <row r="4" spans="1:10">
      <c r="A4" s="6"/>
      <c r="B4" s="6"/>
      <c r="C4" s="3"/>
      <c r="D4" s="3"/>
      <c r="E4" s="3"/>
      <c r="F4" s="3"/>
      <c r="G4" s="3"/>
      <c r="H4" s="3"/>
      <c r="I4" s="3"/>
      <c r="J4" s="3"/>
    </row>
    <row r="5" spans="1:10">
      <c r="A5" s="127"/>
      <c r="B5" s="5"/>
      <c r="C5" s="3"/>
      <c r="D5" s="3"/>
      <c r="E5" s="3"/>
      <c r="F5" s="3"/>
      <c r="G5" s="3"/>
      <c r="H5" s="3"/>
      <c r="I5" s="3"/>
      <c r="J5" s="3"/>
    </row>
    <row r="6" spans="1:10">
      <c r="A6" s="6"/>
      <c r="B6" s="6"/>
      <c r="C6" s="3"/>
      <c r="D6" s="3"/>
      <c r="E6" s="3"/>
      <c r="F6" s="3"/>
      <c r="G6" s="3"/>
      <c r="H6" s="3"/>
      <c r="I6" s="3"/>
      <c r="J6" s="3"/>
    </row>
    <row r="7" spans="1:10">
      <c r="A7" s="6"/>
      <c r="B7" s="6"/>
      <c r="C7" s="3"/>
      <c r="D7" s="3"/>
      <c r="E7" s="284" t="s">
        <v>1</v>
      </c>
      <c r="F7" s="284"/>
      <c r="G7" s="284"/>
      <c r="H7" s="284"/>
      <c r="I7" s="237" t="s">
        <v>65</v>
      </c>
      <c r="J7" s="226">
        <f>CARÁTULA!$F$16</f>
        <v>2021</v>
      </c>
    </row>
    <row r="8" spans="1:10">
      <c r="A8" s="6"/>
      <c r="B8" s="6"/>
      <c r="C8" s="3"/>
      <c r="D8" s="3"/>
    </row>
    <row r="9" spans="1:10">
      <c r="A9" s="246"/>
      <c r="B9" s="7"/>
      <c r="C9" s="8"/>
      <c r="D9" s="8"/>
      <c r="E9" s="7"/>
      <c r="F9" s="8"/>
      <c r="G9" s="8"/>
      <c r="H9" s="8"/>
      <c r="I9" s="7"/>
      <c r="J9" s="7"/>
    </row>
    <row r="10" spans="1:10">
      <c r="A10" s="246"/>
      <c r="B10" s="241" t="s">
        <v>3</v>
      </c>
      <c r="C10" s="241" t="s">
        <v>4</v>
      </c>
      <c r="D10" s="267" t="s">
        <v>5</v>
      </c>
      <c r="E10" s="267"/>
      <c r="F10" s="267" t="s">
        <v>6</v>
      </c>
      <c r="G10" s="316"/>
      <c r="H10" s="316" t="s">
        <v>7</v>
      </c>
      <c r="I10" s="317"/>
      <c r="J10" s="273"/>
    </row>
    <row r="11" spans="1:10">
      <c r="A11" s="246"/>
      <c r="B11" s="18">
        <v>161</v>
      </c>
      <c r="C11" s="42">
        <v>44506</v>
      </c>
      <c r="D11" s="266" t="s">
        <v>11</v>
      </c>
      <c r="E11" s="266"/>
      <c r="F11" s="283">
        <v>81090</v>
      </c>
      <c r="G11" s="283"/>
      <c r="H11" s="266" t="s">
        <v>42</v>
      </c>
      <c r="I11" s="266"/>
      <c r="J11" s="266"/>
    </row>
    <row r="12" spans="1:10">
      <c r="A12" s="246"/>
      <c r="B12" s="9">
        <v>162</v>
      </c>
      <c r="C12" s="42">
        <v>44507</v>
      </c>
      <c r="D12" s="335" t="s">
        <v>35</v>
      </c>
      <c r="E12" s="335"/>
      <c r="F12" s="269">
        <v>42660</v>
      </c>
      <c r="G12" s="269"/>
      <c r="H12" s="266" t="s">
        <v>42</v>
      </c>
      <c r="I12" s="266"/>
      <c r="J12" s="266"/>
    </row>
    <row r="13" spans="1:10">
      <c r="A13" s="246"/>
      <c r="B13" s="9">
        <v>164</v>
      </c>
      <c r="C13" s="42">
        <v>44506</v>
      </c>
      <c r="D13" s="335" t="s">
        <v>66</v>
      </c>
      <c r="E13" s="335"/>
      <c r="F13" s="269">
        <v>79350</v>
      </c>
      <c r="G13" s="269"/>
      <c r="H13" s="266" t="s">
        <v>42</v>
      </c>
      <c r="I13" s="266"/>
      <c r="J13" s="266"/>
    </row>
    <row r="14" spans="1:10">
      <c r="A14" s="246"/>
      <c r="B14" s="9">
        <v>165</v>
      </c>
      <c r="C14" s="42">
        <v>44513</v>
      </c>
      <c r="D14" s="335" t="s">
        <v>8</v>
      </c>
      <c r="E14" s="335"/>
      <c r="F14" s="269">
        <v>17010</v>
      </c>
      <c r="G14" s="269"/>
      <c r="H14" s="266" t="s">
        <v>42</v>
      </c>
      <c r="I14" s="266"/>
      <c r="J14" s="266"/>
    </row>
    <row r="15" spans="1:10">
      <c r="A15" s="246"/>
      <c r="B15" s="9">
        <v>166</v>
      </c>
      <c r="C15" s="42">
        <v>44516</v>
      </c>
      <c r="D15" s="335" t="s">
        <v>35</v>
      </c>
      <c r="E15" s="335"/>
      <c r="F15" s="269">
        <v>45450</v>
      </c>
      <c r="G15" s="269"/>
      <c r="H15" s="266" t="s">
        <v>42</v>
      </c>
      <c r="I15" s="266"/>
      <c r="J15" s="266"/>
    </row>
    <row r="16" spans="1:10">
      <c r="A16" s="246"/>
      <c r="B16" s="9">
        <v>167</v>
      </c>
      <c r="C16" s="42">
        <v>44522</v>
      </c>
      <c r="D16" s="266" t="s">
        <v>8</v>
      </c>
      <c r="E16" s="266"/>
      <c r="F16" s="269">
        <v>43650</v>
      </c>
      <c r="G16" s="269"/>
      <c r="H16" s="266" t="s">
        <v>42</v>
      </c>
      <c r="I16" s="266"/>
      <c r="J16" s="266"/>
    </row>
    <row r="17" spans="1:10">
      <c r="A17" s="246"/>
      <c r="B17" s="9">
        <v>168</v>
      </c>
      <c r="C17" s="42">
        <v>44521</v>
      </c>
      <c r="D17" s="335" t="s">
        <v>12</v>
      </c>
      <c r="E17" s="335"/>
      <c r="F17" s="269">
        <v>6750</v>
      </c>
      <c r="G17" s="269"/>
      <c r="H17" s="266" t="s">
        <v>42</v>
      </c>
      <c r="I17" s="266"/>
      <c r="J17" s="266"/>
    </row>
    <row r="18" spans="1:10">
      <c r="A18" s="246"/>
      <c r="B18" s="9">
        <v>169</v>
      </c>
      <c r="C18" s="42">
        <v>44522</v>
      </c>
      <c r="D18" s="266" t="s">
        <v>35</v>
      </c>
      <c r="E18" s="266"/>
      <c r="F18" s="269">
        <v>43560</v>
      </c>
      <c r="G18" s="269"/>
      <c r="H18" s="266" t="s">
        <v>42</v>
      </c>
      <c r="I18" s="266"/>
      <c r="J18" s="266"/>
    </row>
    <row r="19" spans="1:10">
      <c r="A19" s="246"/>
      <c r="B19" s="9">
        <v>170</v>
      </c>
      <c r="C19" s="42">
        <v>44527</v>
      </c>
      <c r="D19" s="266" t="s">
        <v>8</v>
      </c>
      <c r="E19" s="266"/>
      <c r="F19" s="269">
        <v>36540</v>
      </c>
      <c r="G19" s="269"/>
      <c r="H19" s="266" t="s">
        <v>42</v>
      </c>
      <c r="I19" s="266"/>
      <c r="J19" s="266"/>
    </row>
    <row r="20" spans="1:10">
      <c r="A20" s="246"/>
      <c r="B20" s="9">
        <v>171</v>
      </c>
      <c r="C20" s="42">
        <v>44526</v>
      </c>
      <c r="D20" s="266" t="s">
        <v>35</v>
      </c>
      <c r="E20" s="266"/>
      <c r="F20" s="269">
        <v>36810</v>
      </c>
      <c r="G20" s="269"/>
      <c r="H20" s="266" t="s">
        <v>42</v>
      </c>
      <c r="I20" s="266"/>
      <c r="J20" s="266"/>
    </row>
    <row r="21" spans="1:10">
      <c r="A21" s="246"/>
      <c r="B21" s="9">
        <v>172</v>
      </c>
      <c r="C21" s="42">
        <v>44529</v>
      </c>
      <c r="D21" s="266" t="s">
        <v>11</v>
      </c>
      <c r="E21" s="266"/>
      <c r="F21" s="269">
        <v>60480</v>
      </c>
      <c r="G21" s="269"/>
      <c r="H21" s="266" t="s">
        <v>42</v>
      </c>
      <c r="I21" s="266"/>
      <c r="J21" s="266"/>
    </row>
    <row r="22" spans="1:10">
      <c r="A22" s="246"/>
      <c r="B22" s="9">
        <v>173</v>
      </c>
      <c r="C22" s="42">
        <v>44530</v>
      </c>
      <c r="D22" s="266" t="s">
        <v>8</v>
      </c>
      <c r="E22" s="266"/>
      <c r="F22" s="269">
        <v>15900</v>
      </c>
      <c r="G22" s="269"/>
      <c r="H22" s="266" t="s">
        <v>42</v>
      </c>
      <c r="I22" s="266"/>
      <c r="J22" s="266"/>
    </row>
    <row r="23" spans="1:10">
      <c r="A23" s="246"/>
      <c r="B23" s="9"/>
      <c r="C23" s="42"/>
      <c r="D23" s="266"/>
      <c r="E23" s="266"/>
      <c r="F23" s="269"/>
      <c r="G23" s="269"/>
      <c r="H23" s="266"/>
      <c r="I23" s="266"/>
      <c r="J23" s="266"/>
    </row>
    <row r="24" spans="1:10">
      <c r="A24" s="246"/>
      <c r="B24" s="9"/>
      <c r="C24" s="42"/>
      <c r="D24" s="266"/>
      <c r="E24" s="266"/>
      <c r="F24" s="269"/>
      <c r="G24" s="269"/>
      <c r="H24" s="266"/>
      <c r="I24" s="266"/>
      <c r="J24" s="266"/>
    </row>
    <row r="25" spans="1:10">
      <c r="A25" s="246"/>
      <c r="B25" s="9"/>
      <c r="C25" s="42"/>
      <c r="D25" s="266"/>
      <c r="E25" s="266"/>
      <c r="F25" s="269"/>
      <c r="G25" s="269"/>
      <c r="H25" s="266"/>
      <c r="I25" s="266"/>
      <c r="J25" s="266"/>
    </row>
    <row r="26" spans="1:10">
      <c r="A26" s="246"/>
      <c r="B26" s="9"/>
      <c r="C26" s="42"/>
      <c r="D26" s="266"/>
      <c r="E26" s="266"/>
      <c r="F26" s="269"/>
      <c r="G26" s="269"/>
      <c r="H26" s="266"/>
      <c r="I26" s="266"/>
      <c r="J26" s="266"/>
    </row>
    <row r="27" spans="1:10">
      <c r="A27" s="246"/>
      <c r="B27" s="9"/>
      <c r="C27" s="42"/>
      <c r="D27" s="266"/>
      <c r="E27" s="266"/>
      <c r="F27" s="269"/>
      <c r="G27" s="269"/>
      <c r="H27" s="266"/>
      <c r="I27" s="266"/>
      <c r="J27" s="266"/>
    </row>
    <row r="28" spans="1:10">
      <c r="A28" s="246"/>
      <c r="B28" s="9"/>
      <c r="C28" s="42"/>
      <c r="D28" s="266"/>
      <c r="E28" s="266"/>
      <c r="F28" s="269"/>
      <c r="G28" s="269"/>
      <c r="H28" s="266"/>
      <c r="I28" s="266"/>
      <c r="J28" s="266"/>
    </row>
    <row r="29" spans="1:10">
      <c r="A29" s="246"/>
      <c r="B29" s="9"/>
      <c r="C29" s="42"/>
      <c r="D29" s="266"/>
      <c r="E29" s="266"/>
      <c r="F29" s="269"/>
      <c r="G29" s="269"/>
      <c r="H29" s="266"/>
      <c r="I29" s="266"/>
      <c r="J29" s="266"/>
    </row>
    <row r="30" spans="1:10">
      <c r="A30" s="246"/>
      <c r="B30" s="9"/>
      <c r="C30" s="42"/>
      <c r="D30" s="266"/>
      <c r="E30" s="266"/>
      <c r="F30" s="269"/>
      <c r="G30" s="269"/>
      <c r="H30" s="266"/>
      <c r="I30" s="266"/>
      <c r="J30" s="266"/>
    </row>
    <row r="31" spans="1:10">
      <c r="A31" s="246"/>
      <c r="B31" s="9"/>
      <c r="C31" s="42"/>
      <c r="D31" s="266"/>
      <c r="E31" s="266"/>
      <c r="F31" s="269"/>
      <c r="G31" s="269"/>
      <c r="H31" s="318"/>
      <c r="I31" s="318"/>
      <c r="J31" s="9"/>
    </row>
    <row r="32" spans="1:10">
      <c r="A32" s="246"/>
      <c r="B32" s="9"/>
      <c r="C32" s="42"/>
      <c r="D32" s="266"/>
      <c r="E32" s="266"/>
      <c r="F32" s="269"/>
      <c r="G32" s="269"/>
      <c r="H32" s="318"/>
      <c r="I32" s="318"/>
      <c r="J32" s="9"/>
    </row>
    <row r="33" spans="1:10">
      <c r="A33" s="246"/>
      <c r="B33" s="9"/>
      <c r="C33" s="42"/>
      <c r="D33" s="266"/>
      <c r="E33" s="266"/>
      <c r="F33" s="269"/>
      <c r="G33" s="269"/>
      <c r="H33" s="318"/>
      <c r="I33" s="318"/>
      <c r="J33" s="9"/>
    </row>
    <row r="34" spans="1:10">
      <c r="A34" s="246"/>
      <c r="B34" s="9"/>
      <c r="C34" s="42"/>
      <c r="D34" s="266"/>
      <c r="E34" s="266"/>
      <c r="F34" s="269"/>
      <c r="G34" s="269"/>
      <c r="H34" s="318"/>
      <c r="I34" s="318"/>
      <c r="J34" s="9"/>
    </row>
    <row r="35" spans="1:10">
      <c r="A35" s="246"/>
      <c r="B35" s="9"/>
      <c r="C35" s="42"/>
      <c r="D35" s="266"/>
      <c r="E35" s="266"/>
      <c r="F35" s="269"/>
      <c r="G35" s="269"/>
      <c r="H35" s="318"/>
      <c r="I35" s="318"/>
      <c r="J35" s="9"/>
    </row>
    <row r="36" spans="1:10">
      <c r="A36" s="246"/>
      <c r="B36" s="9"/>
      <c r="C36" s="42"/>
      <c r="D36" s="9"/>
      <c r="E36" s="9"/>
      <c r="F36" s="236"/>
      <c r="G36" s="236"/>
      <c r="H36" s="251"/>
      <c r="I36" s="251"/>
      <c r="J36" s="9"/>
    </row>
    <row r="37" spans="1:10">
      <c r="A37" s="246"/>
      <c r="B37" s="9"/>
      <c r="C37" s="42"/>
      <c r="D37" s="266"/>
      <c r="E37" s="266"/>
      <c r="F37" s="269"/>
      <c r="G37" s="269"/>
      <c r="H37" s="318"/>
      <c r="I37" s="318"/>
      <c r="J37" s="9"/>
    </row>
    <row r="38" spans="1:10">
      <c r="A38" s="246"/>
      <c r="B38" s="9"/>
      <c r="C38" s="42"/>
      <c r="D38" s="9"/>
      <c r="E38" s="9"/>
      <c r="F38" s="242"/>
      <c r="G38" s="242"/>
      <c r="H38" s="9"/>
      <c r="I38" s="9"/>
      <c r="J38" s="9"/>
    </row>
    <row r="39" spans="1:10">
      <c r="A39" s="246"/>
      <c r="B39" s="9"/>
      <c r="C39" s="11"/>
      <c r="D39" s="10"/>
      <c r="E39" s="10"/>
      <c r="F39" s="280">
        <f>SUM(F11:G37)</f>
        <v>509250</v>
      </c>
      <c r="G39" s="281"/>
      <c r="H39" s="18"/>
      <c r="I39" s="18"/>
      <c r="J39" s="18"/>
    </row>
    <row r="40" spans="1:10">
      <c r="A40" s="246"/>
      <c r="B40" s="9"/>
      <c r="C40" s="7"/>
      <c r="D40" s="7"/>
      <c r="E40" s="13"/>
      <c r="F40" s="7"/>
      <c r="G40" s="7"/>
      <c r="H40" s="7"/>
      <c r="I40" s="7"/>
      <c r="J40" s="7"/>
    </row>
    <row r="41" spans="1:10">
      <c r="A41" s="246"/>
      <c r="B41" s="9"/>
      <c r="C41" s="7"/>
      <c r="D41" s="282" t="s">
        <v>15</v>
      </c>
      <c r="E41" s="282"/>
      <c r="F41" s="7"/>
      <c r="G41" s="41">
        <f>F39/1000</f>
        <v>509.25</v>
      </c>
      <c r="H41" s="7"/>
      <c r="I41" s="7"/>
      <c r="J41" s="7"/>
    </row>
    <row r="42" spans="1:10">
      <c r="A42" s="246"/>
      <c r="B42" s="9"/>
      <c r="C42" s="7"/>
      <c r="D42" s="7"/>
      <c r="E42" s="13"/>
      <c r="F42" s="7"/>
      <c r="G42" s="7"/>
      <c r="H42" s="7"/>
      <c r="I42" s="7"/>
      <c r="J42" s="7"/>
    </row>
    <row r="43" spans="1:10">
      <c r="A43" s="246"/>
      <c r="B43" s="9"/>
      <c r="C43" s="7"/>
      <c r="D43" s="7"/>
      <c r="E43" s="7"/>
      <c r="F43" s="7"/>
      <c r="G43" s="7"/>
      <c r="H43" s="7"/>
      <c r="I43" s="7"/>
      <c r="J43" s="7"/>
    </row>
    <row r="44" spans="1:10">
      <c r="A44" s="246"/>
      <c r="B44" s="9"/>
      <c r="C44" s="267" t="s">
        <v>16</v>
      </c>
      <c r="D44" s="267"/>
      <c r="E44" s="267" t="s">
        <v>17</v>
      </c>
      <c r="F44" s="267"/>
      <c r="G44" s="241" t="s">
        <v>18</v>
      </c>
      <c r="H44" s="241" t="s">
        <v>19</v>
      </c>
      <c r="I44" s="7"/>
      <c r="J44" s="7"/>
    </row>
    <row r="45" spans="1:10">
      <c r="A45" s="246"/>
      <c r="B45" s="9"/>
      <c r="C45" s="279" t="s">
        <v>20</v>
      </c>
      <c r="D45" s="279"/>
      <c r="E45" s="336">
        <v>0</v>
      </c>
      <c r="F45" s="336"/>
      <c r="G45" s="43">
        <f>+E45/E51</f>
        <v>0</v>
      </c>
      <c r="H45" s="45">
        <v>0</v>
      </c>
      <c r="I45" s="7"/>
      <c r="J45" s="7"/>
    </row>
    <row r="46" spans="1:10">
      <c r="A46" s="246"/>
      <c r="B46" s="9"/>
      <c r="C46" s="266" t="s">
        <v>53</v>
      </c>
      <c r="D46" s="266"/>
      <c r="E46" s="336">
        <f>F14+F16+F19+F22</f>
        <v>113100</v>
      </c>
      <c r="F46" s="336"/>
      <c r="G46" s="43">
        <f>+E46/E51</f>
        <v>0.22209131075110455</v>
      </c>
      <c r="H46" s="45">
        <v>4</v>
      </c>
      <c r="I46" s="7"/>
      <c r="J46" s="7"/>
    </row>
    <row r="47" spans="1:10">
      <c r="A47" s="246"/>
      <c r="B47" s="9"/>
      <c r="C47" s="266" t="s">
        <v>54</v>
      </c>
      <c r="D47" s="266"/>
      <c r="E47" s="336">
        <f>F11+F21</f>
        <v>141570</v>
      </c>
      <c r="F47" s="336"/>
      <c r="G47" s="43">
        <f>+E47/E51</f>
        <v>0.27799705449189988</v>
      </c>
      <c r="H47" s="45">
        <v>2</v>
      </c>
      <c r="I47" s="7"/>
      <c r="J47" s="7"/>
    </row>
    <row r="48" spans="1:10">
      <c r="A48" s="246"/>
      <c r="B48" s="9"/>
      <c r="C48" s="235" t="s">
        <v>67</v>
      </c>
      <c r="D48" s="235"/>
      <c r="E48" s="240"/>
      <c r="F48" s="240">
        <f>F13</f>
        <v>79350</v>
      </c>
      <c r="G48" s="43">
        <f>F48/E51</f>
        <v>0.15581737849779087</v>
      </c>
      <c r="H48" s="45">
        <v>1</v>
      </c>
      <c r="I48" s="7"/>
      <c r="J48" s="7"/>
    </row>
    <row r="49" spans="1:10">
      <c r="A49" s="246"/>
      <c r="B49" s="9"/>
      <c r="C49" s="266" t="s">
        <v>58</v>
      </c>
      <c r="D49" s="266"/>
      <c r="E49" s="269">
        <v>0</v>
      </c>
      <c r="F49" s="269"/>
      <c r="G49" s="43">
        <f>+E49/E51</f>
        <v>0</v>
      </c>
      <c r="H49" s="45">
        <v>0</v>
      </c>
      <c r="I49" s="7"/>
      <c r="J49" s="7"/>
    </row>
    <row r="50" spans="1:10">
      <c r="A50" s="246"/>
      <c r="B50" s="9"/>
      <c r="C50" s="266" t="s">
        <v>21</v>
      </c>
      <c r="D50" s="266"/>
      <c r="E50" s="269">
        <f>F12+F15+F17+F18+F20</f>
        <v>175230</v>
      </c>
      <c r="F50" s="269"/>
      <c r="G50" s="43">
        <f>+E50/E51</f>
        <v>0.3440942562592047</v>
      </c>
      <c r="H50" s="45">
        <v>5</v>
      </c>
      <c r="I50" s="7"/>
      <c r="J50" s="7"/>
    </row>
    <row r="51" spans="1:10">
      <c r="A51" s="246"/>
      <c r="B51" s="9"/>
      <c r="C51" s="14"/>
      <c r="D51" s="238" t="s">
        <v>24</v>
      </c>
      <c r="E51" s="337">
        <f>SUM(E45:F50)</f>
        <v>509250</v>
      </c>
      <c r="F51" s="337"/>
      <c r="G51" s="44">
        <f>SUM(G45:G50)</f>
        <v>1</v>
      </c>
      <c r="H51" s="46">
        <f>SUM(H45:H50)</f>
        <v>12</v>
      </c>
      <c r="I51" s="7"/>
      <c r="J51" s="7"/>
    </row>
    <row r="52" spans="1:10">
      <c r="A52" s="246"/>
      <c r="B52" s="9"/>
      <c r="C52" s="15"/>
      <c r="D52" s="15"/>
      <c r="E52" s="10"/>
      <c r="F52" s="10"/>
      <c r="G52" s="10"/>
      <c r="H52" s="7"/>
      <c r="I52" s="7"/>
      <c r="J52" s="7"/>
    </row>
    <row r="53" spans="1:10">
      <c r="A53" s="246"/>
      <c r="B53" s="9"/>
      <c r="C53" s="7"/>
      <c r="D53" s="7"/>
      <c r="E53" s="12"/>
      <c r="F53" s="16"/>
      <c r="G53" s="17"/>
      <c r="H53" s="7"/>
      <c r="I53" s="7"/>
      <c r="J53" s="7"/>
    </row>
    <row r="54" spans="1:10">
      <c r="A54" s="246"/>
      <c r="B54" s="9"/>
      <c r="C54" s="40"/>
      <c r="D54" s="7"/>
      <c r="E54" s="12"/>
      <c r="F54" s="16"/>
      <c r="G54" s="17"/>
      <c r="H54" s="7"/>
      <c r="I54" s="7"/>
      <c r="J54" s="7"/>
    </row>
    <row r="55" spans="1:10">
      <c r="A55" s="246"/>
      <c r="B55" s="9"/>
      <c r="C55" s="270" t="s">
        <v>7</v>
      </c>
      <c r="D55" s="271"/>
      <c r="E55" s="272"/>
      <c r="F55" s="273" t="s">
        <v>6</v>
      </c>
      <c r="G55" s="267"/>
      <c r="H55" s="241" t="s">
        <v>18</v>
      </c>
      <c r="I55" s="7"/>
      <c r="J55" s="7"/>
    </row>
    <row r="56" spans="1:10">
      <c r="A56" s="246"/>
      <c r="B56" s="9"/>
      <c r="C56" s="266" t="s">
        <v>25</v>
      </c>
      <c r="D56" s="266"/>
      <c r="E56" s="266"/>
      <c r="F56" s="283">
        <v>0</v>
      </c>
      <c r="G56" s="283"/>
      <c r="H56" s="43">
        <f>+F56/F59</f>
        <v>0</v>
      </c>
      <c r="I56" s="7"/>
      <c r="J56" s="7"/>
    </row>
    <row r="57" spans="1:10">
      <c r="A57" s="246"/>
      <c r="B57" s="9"/>
      <c r="C57" s="266" t="s">
        <v>26</v>
      </c>
      <c r="D57" s="266"/>
      <c r="E57" s="266"/>
      <c r="F57" s="269">
        <f>F39</f>
        <v>509250</v>
      </c>
      <c r="G57" s="269"/>
      <c r="H57" s="43">
        <f>+F57/F59</f>
        <v>1</v>
      </c>
      <c r="I57" s="7"/>
      <c r="J57" s="7"/>
    </row>
    <row r="58" spans="1:10">
      <c r="A58" s="246"/>
      <c r="B58" s="9"/>
      <c r="C58" s="7"/>
      <c r="D58" s="7"/>
      <c r="E58" s="7"/>
      <c r="F58" s="236"/>
      <c r="G58" s="236"/>
      <c r="H58" s="43"/>
      <c r="I58" s="7"/>
      <c r="J58" s="7"/>
    </row>
    <row r="59" spans="1:10">
      <c r="A59" s="246"/>
      <c r="B59" s="9"/>
      <c r="C59" s="7"/>
      <c r="D59" s="7" t="s">
        <v>24</v>
      </c>
      <c r="E59" s="7"/>
      <c r="F59" s="277">
        <f>SUM(F56:G58)</f>
        <v>509250</v>
      </c>
      <c r="G59" s="277"/>
      <c r="H59" s="44">
        <f>SUM(H56:H58)</f>
        <v>1</v>
      </c>
      <c r="I59" s="7"/>
      <c r="J59" s="7"/>
    </row>
    <row r="60" spans="1:10">
      <c r="A60" s="246"/>
      <c r="B60" s="9"/>
      <c r="C60" s="7"/>
      <c r="D60" s="7"/>
      <c r="E60" s="7"/>
      <c r="F60" s="47"/>
      <c r="G60" s="47"/>
      <c r="H60" s="49"/>
      <c r="I60" s="7"/>
      <c r="J60" s="7"/>
    </row>
    <row r="61" spans="1:10">
      <c r="A61" s="246"/>
      <c r="B61" s="9"/>
      <c r="C61" s="7"/>
      <c r="D61" s="36"/>
      <c r="E61" s="37"/>
      <c r="F61" s="3"/>
      <c r="G61" s="3"/>
      <c r="H61" s="7"/>
      <c r="I61" s="7"/>
      <c r="J61" s="7"/>
    </row>
    <row r="62" spans="1:10">
      <c r="A62" s="246"/>
      <c r="B62" s="9"/>
      <c r="C62" s="7"/>
      <c r="D62" s="3"/>
      <c r="E62" s="278" t="s">
        <v>27</v>
      </c>
      <c r="F62" s="278"/>
      <c r="G62" s="278"/>
      <c r="H62" s="278"/>
      <c r="I62" s="7"/>
      <c r="J62" s="7"/>
    </row>
    <row r="63" spans="1:10">
      <c r="A63" s="246"/>
      <c r="B63" s="9"/>
      <c r="C63" s="7"/>
      <c r="D63" s="56"/>
      <c r="E63" s="7"/>
      <c r="F63" s="7"/>
      <c r="G63" s="7"/>
      <c r="H63" s="7"/>
      <c r="I63" s="7"/>
      <c r="J63" s="7"/>
    </row>
    <row r="64" spans="1:10">
      <c r="A64" s="246"/>
      <c r="B64" s="7"/>
      <c r="C64" s="7"/>
      <c r="D64" s="55" t="s">
        <v>28</v>
      </c>
      <c r="E64" s="275">
        <v>2020</v>
      </c>
      <c r="F64" s="276"/>
      <c r="G64" s="275">
        <v>2021</v>
      </c>
      <c r="H64" s="276"/>
      <c r="I64" s="7"/>
      <c r="J64" s="7"/>
    </row>
    <row r="65" spans="1:10">
      <c r="A65" s="246"/>
      <c r="B65" s="7"/>
      <c r="C65" s="7"/>
      <c r="D65" s="54" t="s">
        <v>29</v>
      </c>
      <c r="E65" s="51" t="s">
        <v>30</v>
      </c>
      <c r="F65" s="51" t="s">
        <v>31</v>
      </c>
      <c r="G65" s="51" t="s">
        <v>30</v>
      </c>
      <c r="H65" s="51" t="s">
        <v>31</v>
      </c>
      <c r="I65" s="7"/>
      <c r="J65" s="7"/>
    </row>
    <row r="66" spans="1:10">
      <c r="A66" s="246"/>
      <c r="B66" s="7"/>
      <c r="C66" s="7"/>
      <c r="D66" s="52"/>
      <c r="E66" s="28"/>
      <c r="F66" s="177"/>
      <c r="G66" s="257"/>
      <c r="H66" s="29"/>
      <c r="I66" s="7"/>
      <c r="J66" s="7"/>
    </row>
    <row r="67" spans="1:10">
      <c r="A67" s="246"/>
      <c r="B67" s="7"/>
      <c r="C67" s="7"/>
      <c r="D67" s="83" t="s">
        <v>32</v>
      </c>
      <c r="E67" s="84">
        <f>'OCT 2021'!E69</f>
        <v>417.84</v>
      </c>
      <c r="F67" s="177">
        <v>15</v>
      </c>
      <c r="G67" s="258">
        <f>'ENE 2021'!G46</f>
        <v>1008.93</v>
      </c>
      <c r="H67" s="160">
        <f>'ENE 2021'!H55</f>
        <v>32</v>
      </c>
      <c r="I67" s="7"/>
      <c r="J67" s="7"/>
    </row>
    <row r="68" spans="1:10">
      <c r="A68" s="246"/>
      <c r="B68" s="7"/>
      <c r="C68" s="7"/>
      <c r="D68" s="86" t="s">
        <v>38</v>
      </c>
      <c r="E68" s="31">
        <f>'OCT 2021'!E70</f>
        <v>591.57000000000005</v>
      </c>
      <c r="F68" s="178">
        <v>22</v>
      </c>
      <c r="G68" s="259">
        <f>'FEB 2021'!G48</f>
        <v>719.82</v>
      </c>
      <c r="H68" s="160">
        <f>'FEB 2021'!H57</f>
        <v>25</v>
      </c>
      <c r="I68" s="7"/>
      <c r="J68" s="7"/>
    </row>
    <row r="69" spans="1:10">
      <c r="A69" s="246"/>
      <c r="B69" s="7"/>
      <c r="C69" s="7"/>
      <c r="D69" s="88" t="s">
        <v>40</v>
      </c>
      <c r="E69" s="31">
        <f>'OCT 2021'!E71</f>
        <v>408.24</v>
      </c>
      <c r="F69" s="178">
        <v>13</v>
      </c>
      <c r="G69" s="259">
        <f>'MAR 2021'!G43</f>
        <v>815.73</v>
      </c>
      <c r="H69" s="160">
        <f>'MAR 2021'!H51</f>
        <v>26</v>
      </c>
      <c r="I69" s="7"/>
      <c r="J69" s="7"/>
    </row>
    <row r="70" spans="1:10">
      <c r="A70" s="246"/>
      <c r="B70" s="7"/>
      <c r="C70" s="7"/>
      <c r="D70" s="88" t="s">
        <v>43</v>
      </c>
      <c r="E70" s="31">
        <f>'OCT 2021'!E72</f>
        <v>188.13</v>
      </c>
      <c r="F70" s="178">
        <v>6</v>
      </c>
      <c r="G70" s="259">
        <f>'ABR 2021'!G41</f>
        <v>323.73</v>
      </c>
      <c r="H70" s="160">
        <f>'ABR 2021'!H50</f>
        <v>11</v>
      </c>
      <c r="I70" s="7"/>
      <c r="J70" s="7"/>
    </row>
    <row r="71" spans="1:10">
      <c r="A71" s="246"/>
      <c r="B71" s="7"/>
      <c r="C71" s="7"/>
      <c r="D71" s="86" t="s">
        <v>45</v>
      </c>
      <c r="E71" s="31">
        <f>'OCT 2021'!E73</f>
        <v>279.93</v>
      </c>
      <c r="F71" s="178">
        <v>8</v>
      </c>
      <c r="G71" s="259">
        <f>'MAY 2021'!G44</f>
        <v>142.35</v>
      </c>
      <c r="H71" s="160">
        <f>'MAY 2021'!H52</f>
        <v>6</v>
      </c>
      <c r="I71" s="7"/>
      <c r="J71" s="7"/>
    </row>
    <row r="72" spans="1:10">
      <c r="A72" s="246"/>
      <c r="B72" s="7"/>
      <c r="C72" s="7"/>
      <c r="D72" s="88" t="s">
        <v>47</v>
      </c>
      <c r="E72" s="31">
        <f>'OCT 2021'!E74</f>
        <v>202.08</v>
      </c>
      <c r="F72" s="178">
        <v>7</v>
      </c>
      <c r="G72" s="259">
        <f>'JUN 2021'!G33</f>
        <v>189.81</v>
      </c>
      <c r="H72" s="160">
        <f>'JUN 2021'!H42</f>
        <v>6</v>
      </c>
      <c r="I72" s="7"/>
      <c r="J72" s="7"/>
    </row>
    <row r="73" spans="1:10">
      <c r="A73" s="246"/>
      <c r="B73" s="7"/>
      <c r="C73" s="7"/>
      <c r="D73" s="88" t="s">
        <v>55</v>
      </c>
      <c r="E73" s="31">
        <f>'OCT 2021'!E75</f>
        <v>178.92</v>
      </c>
      <c r="F73" s="178">
        <v>6</v>
      </c>
      <c r="G73" s="259">
        <f>'JUL 2021'!G33</f>
        <v>288.27</v>
      </c>
      <c r="H73" s="160">
        <f>'JUL 2021'!H42</f>
        <v>7</v>
      </c>
      <c r="I73" s="7"/>
      <c r="J73" s="7"/>
    </row>
    <row r="74" spans="1:10">
      <c r="A74" s="246"/>
      <c r="B74" s="7"/>
      <c r="C74" s="7"/>
      <c r="D74" s="88" t="s">
        <v>59</v>
      </c>
      <c r="E74" s="31">
        <f>'OCT 2021'!E76</f>
        <v>155.82</v>
      </c>
      <c r="F74" s="178">
        <v>6</v>
      </c>
      <c r="G74" s="259">
        <f>'AGO 2021'!G32</f>
        <v>642.03</v>
      </c>
      <c r="H74" s="160">
        <f>'AGO 2021'!H40</f>
        <v>12</v>
      </c>
      <c r="I74" s="7"/>
      <c r="J74" s="7"/>
    </row>
    <row r="75" spans="1:10">
      <c r="A75" s="246"/>
      <c r="B75" s="7"/>
      <c r="C75" s="7"/>
      <c r="D75" s="88" t="s">
        <v>62</v>
      </c>
      <c r="E75" s="31">
        <f>'OCT 2021'!E77</f>
        <v>414.9</v>
      </c>
      <c r="F75" s="178">
        <v>11</v>
      </c>
      <c r="G75" s="259">
        <f>'SEP 2021'!G43</f>
        <v>288.39</v>
      </c>
      <c r="H75" s="160">
        <f>'SEP 2021'!H53</f>
        <v>7</v>
      </c>
      <c r="I75" s="7"/>
      <c r="J75" s="7"/>
    </row>
    <row r="76" spans="1:10">
      <c r="A76" s="246"/>
      <c r="B76" s="7"/>
      <c r="C76" s="7"/>
      <c r="D76" s="88" t="s">
        <v>64</v>
      </c>
      <c r="E76" s="31">
        <f>'OCT 2021'!E78</f>
        <v>417.42</v>
      </c>
      <c r="F76" s="178">
        <v>9</v>
      </c>
      <c r="G76" s="259">
        <f>'OCT 2021'!G39</f>
        <v>96.24</v>
      </c>
      <c r="H76" s="160">
        <f>'OCT 2021'!H49</f>
        <v>3</v>
      </c>
      <c r="I76" s="7"/>
      <c r="J76" s="7"/>
    </row>
    <row r="77" spans="1:10">
      <c r="A77" s="246"/>
      <c r="B77" s="7"/>
      <c r="C77" s="7"/>
      <c r="D77" s="87" t="s">
        <v>68</v>
      </c>
      <c r="E77" s="34">
        <v>225.54</v>
      </c>
      <c r="F77" s="180">
        <v>7</v>
      </c>
      <c r="G77" s="169">
        <f>G41</f>
        <v>509.25</v>
      </c>
      <c r="H77" s="35">
        <f>H51</f>
        <v>12</v>
      </c>
      <c r="I77" s="7"/>
      <c r="J77" s="7"/>
    </row>
    <row r="78" spans="1:10">
      <c r="A78" s="246"/>
      <c r="B78" s="7"/>
      <c r="C78" s="7"/>
      <c r="D78" s="7"/>
      <c r="E78" s="7"/>
      <c r="F78" s="7"/>
      <c r="G78" s="7"/>
      <c r="H78" s="7"/>
      <c r="I78" s="7"/>
      <c r="J78" s="7"/>
    </row>
    <row r="79" spans="1:10">
      <c r="A79" s="246"/>
      <c r="B79" s="7"/>
      <c r="C79" s="7"/>
      <c r="D79" s="7"/>
      <c r="E79" s="58">
        <f>SUM(E67:E78)</f>
        <v>3480.3900000000008</v>
      </c>
      <c r="F79" s="59">
        <f>SUM(F67:F78)</f>
        <v>110</v>
      </c>
      <c r="G79" s="58">
        <f>SUM(G67:G77)</f>
        <v>5024.55</v>
      </c>
      <c r="H79" s="59">
        <f>SUM(H67:H77)</f>
        <v>147</v>
      </c>
      <c r="I79" s="7"/>
      <c r="J79" s="7"/>
    </row>
    <row r="80" spans="1:10">
      <c r="A80" s="114"/>
      <c r="B80" s="7"/>
      <c r="C80" s="7"/>
      <c r="D80" s="7"/>
      <c r="E80" s="7"/>
      <c r="F80" s="7"/>
      <c r="G80" s="7"/>
      <c r="H80" s="7"/>
      <c r="I80" s="7"/>
      <c r="J80" s="7"/>
    </row>
    <row r="81" spans="1:10">
      <c r="A81" s="114"/>
      <c r="B81" s="7"/>
      <c r="C81" s="7"/>
      <c r="D81" s="7"/>
      <c r="E81" s="7"/>
      <c r="F81" s="7"/>
      <c r="G81" s="7"/>
      <c r="H81" s="7"/>
      <c r="I81" s="7"/>
      <c r="J81" s="7"/>
    </row>
    <row r="82" spans="1:10">
      <c r="A82" s="114"/>
      <c r="B82" s="3"/>
      <c r="C82" s="3"/>
      <c r="D82" s="3"/>
      <c r="E82" s="3"/>
      <c r="F82" s="3"/>
      <c r="G82" s="3"/>
      <c r="H82" s="3"/>
      <c r="I82" s="3"/>
      <c r="J82" s="3"/>
    </row>
    <row r="83" spans="1:10">
      <c r="A83" s="114"/>
      <c r="B83" s="3"/>
      <c r="C83" s="3"/>
      <c r="D83" s="3"/>
      <c r="E83" s="3"/>
      <c r="F83" s="3"/>
      <c r="G83" s="3"/>
      <c r="H83" s="3"/>
      <c r="I83" s="3"/>
      <c r="J83" s="3"/>
    </row>
    <row r="84" spans="1:10">
      <c r="A84" s="114"/>
      <c r="B84" s="3"/>
      <c r="C84" s="3"/>
      <c r="D84" s="3"/>
      <c r="E84" s="3"/>
      <c r="F84" s="3"/>
      <c r="G84" s="3"/>
      <c r="H84" s="3"/>
      <c r="I84" s="3"/>
      <c r="J84" s="3"/>
    </row>
    <row r="85" spans="1:10">
      <c r="A85" s="114"/>
      <c r="B85" s="3"/>
      <c r="C85" s="3"/>
      <c r="D85" s="3"/>
      <c r="E85" s="3"/>
      <c r="F85" s="3"/>
      <c r="G85" s="3"/>
      <c r="H85" s="3"/>
      <c r="I85" s="3"/>
      <c r="J85" s="3"/>
    </row>
    <row r="86" spans="1:10">
      <c r="A86" s="114"/>
      <c r="B86" s="3"/>
      <c r="C86" s="3"/>
      <c r="D86" s="3"/>
      <c r="E86" s="3"/>
      <c r="F86" s="3"/>
      <c r="G86" s="3"/>
      <c r="H86" s="3"/>
      <c r="I86" s="3"/>
      <c r="J86" s="3"/>
    </row>
    <row r="87" spans="1:10">
      <c r="A87" s="114"/>
      <c r="B87" s="3"/>
      <c r="C87" s="3"/>
      <c r="D87" s="3"/>
      <c r="E87" s="3"/>
      <c r="F87" s="3"/>
      <c r="G87" s="3"/>
      <c r="H87" s="3"/>
      <c r="I87" s="3"/>
      <c r="J87" s="3"/>
    </row>
    <row r="88" spans="1:10">
      <c r="A88" s="114"/>
      <c r="B88" s="3"/>
      <c r="C88" s="3"/>
      <c r="D88" s="3"/>
      <c r="E88" s="3"/>
      <c r="F88" s="3"/>
      <c r="G88" s="3"/>
      <c r="H88" s="3"/>
      <c r="I88" s="3"/>
      <c r="J88" s="3"/>
    </row>
    <row r="89" spans="1:10">
      <c r="A89" s="114"/>
      <c r="B89" s="3"/>
      <c r="C89" s="3"/>
      <c r="D89" s="3"/>
      <c r="E89" s="3"/>
      <c r="F89" s="3"/>
      <c r="G89" s="3"/>
      <c r="H89" s="3"/>
      <c r="I89" s="3"/>
      <c r="J89" s="3"/>
    </row>
    <row r="90" spans="1:10">
      <c r="A90" s="114"/>
      <c r="B90" s="3"/>
      <c r="C90" s="3"/>
      <c r="D90" s="3"/>
      <c r="E90" s="3"/>
      <c r="F90" s="3"/>
      <c r="G90" s="3"/>
      <c r="H90" s="3"/>
      <c r="I90" s="3"/>
      <c r="J90" s="3"/>
    </row>
    <row r="91" spans="1:10">
      <c r="A91" s="114"/>
      <c r="B91" s="3"/>
      <c r="C91" s="3"/>
      <c r="D91" s="3"/>
      <c r="E91" s="3"/>
      <c r="F91" s="3"/>
      <c r="G91" s="3"/>
      <c r="H91" s="3"/>
      <c r="I91" s="3"/>
      <c r="J91" s="3"/>
    </row>
    <row r="92" spans="1:10">
      <c r="A92" s="114"/>
      <c r="B92" s="3"/>
      <c r="C92" s="3"/>
      <c r="D92" s="3"/>
      <c r="E92" s="3"/>
      <c r="F92" s="3"/>
      <c r="G92" s="3"/>
      <c r="H92" s="3"/>
      <c r="I92" s="3"/>
      <c r="J92" s="3"/>
    </row>
    <row r="93" spans="1:10">
      <c r="A93" s="114"/>
      <c r="B93" s="3"/>
      <c r="C93" s="3"/>
      <c r="D93" s="3"/>
      <c r="E93" s="3"/>
      <c r="F93" s="3"/>
      <c r="G93" s="3"/>
      <c r="H93" s="3"/>
      <c r="I93" s="3"/>
      <c r="J93" s="3"/>
    </row>
    <row r="94" spans="1:10">
      <c r="A94" s="114"/>
    </row>
    <row r="95" spans="1:10">
      <c r="A95" s="114"/>
    </row>
    <row r="96" spans="1:10">
      <c r="A96" s="114"/>
    </row>
    <row r="97" spans="1:1">
      <c r="A97" s="125"/>
    </row>
    <row r="98" spans="1:1">
      <c r="A98" s="125"/>
    </row>
    <row r="99" spans="1:1">
      <c r="A99" s="125"/>
    </row>
    <row r="100" spans="1:1">
      <c r="A100" s="125"/>
    </row>
    <row r="101" spans="1:1">
      <c r="A101" s="125"/>
    </row>
    <row r="102" spans="1:1">
      <c r="A102" s="125"/>
    </row>
    <row r="103" spans="1:1">
      <c r="A103" s="125"/>
    </row>
    <row r="104" spans="1:1">
      <c r="A104" s="125"/>
    </row>
    <row r="105" spans="1:1">
      <c r="A105" s="125"/>
    </row>
    <row r="106" spans="1:1">
      <c r="A106" s="125"/>
    </row>
    <row r="107" spans="1:1">
      <c r="A107" s="125"/>
    </row>
    <row r="108" spans="1:1">
      <c r="A108" s="125"/>
    </row>
    <row r="109" spans="1:1">
      <c r="A109" s="125"/>
    </row>
    <row r="110" spans="1:1">
      <c r="A110" s="125"/>
    </row>
    <row r="111" spans="1:1">
      <c r="A111" s="125"/>
    </row>
    <row r="112" spans="1:1">
      <c r="A112" s="125"/>
    </row>
    <row r="113" spans="1:1">
      <c r="A113" s="125"/>
    </row>
    <row r="114" spans="1:1">
      <c r="A114" s="125"/>
    </row>
    <row r="115" spans="1:1">
      <c r="A115" s="125"/>
    </row>
    <row r="116" spans="1:1">
      <c r="A116" s="125"/>
    </row>
    <row r="117" spans="1:1">
      <c r="A117" s="125"/>
    </row>
    <row r="118" spans="1:1">
      <c r="A118" s="125"/>
    </row>
    <row r="119" spans="1:1">
      <c r="A119" s="125"/>
    </row>
    <row r="120" spans="1:1">
      <c r="A120" s="125"/>
    </row>
    <row r="121" spans="1:1">
      <c r="A121" s="125"/>
    </row>
    <row r="122" spans="1:1">
      <c r="A122" s="125"/>
    </row>
    <row r="123" spans="1:1">
      <c r="A123" s="125"/>
    </row>
    <row r="124" spans="1:1">
      <c r="A124" s="125"/>
    </row>
    <row r="125" spans="1:1">
      <c r="A125" s="125"/>
    </row>
    <row r="126" spans="1:1">
      <c r="A126" s="125"/>
    </row>
    <row r="127" spans="1:1">
      <c r="A127" s="125"/>
    </row>
    <row r="128" spans="1:1">
      <c r="A128" s="125"/>
    </row>
    <row r="129" spans="1:1">
      <c r="A129" s="125"/>
    </row>
    <row r="130" spans="1:1">
      <c r="A130" s="125"/>
    </row>
    <row r="131" spans="1:1">
      <c r="A131" s="125"/>
    </row>
    <row r="132" spans="1:1">
      <c r="A132" s="125"/>
    </row>
    <row r="133" spans="1:1">
      <c r="A133" s="125"/>
    </row>
    <row r="134" spans="1:1">
      <c r="A134" s="125"/>
    </row>
    <row r="135" spans="1:1">
      <c r="A135" s="125"/>
    </row>
    <row r="136" spans="1:1">
      <c r="A136" s="125"/>
    </row>
    <row r="137" spans="1:1">
      <c r="A137" s="125"/>
    </row>
    <row r="138" spans="1:1">
      <c r="A138" s="125"/>
    </row>
    <row r="139" spans="1:1">
      <c r="A139" s="125"/>
    </row>
    <row r="140" spans="1:1">
      <c r="A140" s="125"/>
    </row>
    <row r="141" spans="1:1">
      <c r="A141" s="125"/>
    </row>
    <row r="142" spans="1:1">
      <c r="A142" s="125"/>
    </row>
    <row r="143" spans="1:1">
      <c r="A143" s="125"/>
    </row>
    <row r="144" spans="1:1">
      <c r="A144" s="125"/>
    </row>
  </sheetData>
  <mergeCells count="107">
    <mergeCell ref="C49:D49"/>
    <mergeCell ref="C50:D50"/>
    <mergeCell ref="E7:H7"/>
    <mergeCell ref="F55:G55"/>
    <mergeCell ref="E51:F51"/>
    <mergeCell ref="E64:F64"/>
    <mergeCell ref="G64:H64"/>
    <mergeCell ref="C56:E56"/>
    <mergeCell ref="C57:E57"/>
    <mergeCell ref="F59:G59"/>
    <mergeCell ref="E62:H62"/>
    <mergeCell ref="F56:G56"/>
    <mergeCell ref="F57:G57"/>
    <mergeCell ref="H31:I31"/>
    <mergeCell ref="E45:F45"/>
    <mergeCell ref="E50:F50"/>
    <mergeCell ref="E46:F46"/>
    <mergeCell ref="C46:D46"/>
    <mergeCell ref="E47:F47"/>
    <mergeCell ref="C47:D47"/>
    <mergeCell ref="C45:D45"/>
    <mergeCell ref="F35:G35"/>
    <mergeCell ref="F39:G39"/>
    <mergeCell ref="D30:E30"/>
    <mergeCell ref="F30:G30"/>
    <mergeCell ref="D31:E31"/>
    <mergeCell ref="D35:E35"/>
    <mergeCell ref="F15:G15"/>
    <mergeCell ref="C55:E55"/>
    <mergeCell ref="F18:G18"/>
    <mergeCell ref="H29:J29"/>
    <mergeCell ref="E49:F49"/>
    <mergeCell ref="F33:G33"/>
    <mergeCell ref="H30:J30"/>
    <mergeCell ref="D41:E41"/>
    <mergeCell ref="C44:D44"/>
    <mergeCell ref="E44:F44"/>
    <mergeCell ref="D37:E37"/>
    <mergeCell ref="F37:G37"/>
    <mergeCell ref="F34:G34"/>
    <mergeCell ref="D34:E34"/>
    <mergeCell ref="H37:I37"/>
    <mergeCell ref="D20:E20"/>
    <mergeCell ref="F22:G22"/>
    <mergeCell ref="F20:G20"/>
    <mergeCell ref="F21:G21"/>
    <mergeCell ref="D19:E19"/>
    <mergeCell ref="D21:E21"/>
    <mergeCell ref="H35:I35"/>
    <mergeCell ref="H33:I33"/>
    <mergeCell ref="H34:I34"/>
    <mergeCell ref="D32:E32"/>
    <mergeCell ref="F32:G32"/>
    <mergeCell ref="H32:I32"/>
    <mergeCell ref="D33:E33"/>
    <mergeCell ref="D11:E11"/>
    <mergeCell ref="F11:G11"/>
    <mergeCell ref="H11:J11"/>
    <mergeCell ref="F19:G19"/>
    <mergeCell ref="F31:G31"/>
    <mergeCell ref="D22:E22"/>
    <mergeCell ref="D17:E17"/>
    <mergeCell ref="H28:J28"/>
    <mergeCell ref="D27:E27"/>
    <mergeCell ref="F27:G27"/>
    <mergeCell ref="H27:J27"/>
    <mergeCell ref="D29:E29"/>
    <mergeCell ref="F29:G29"/>
    <mergeCell ref="D28:E28"/>
    <mergeCell ref="F28:G28"/>
    <mergeCell ref="D18:E18"/>
    <mergeCell ref="H20:J20"/>
    <mergeCell ref="H21:J21"/>
    <mergeCell ref="H22:J22"/>
    <mergeCell ref="D10:E10"/>
    <mergeCell ref="F10:G10"/>
    <mergeCell ref="H10:J10"/>
    <mergeCell ref="D12:E12"/>
    <mergeCell ref="F12:G12"/>
    <mergeCell ref="H12:J12"/>
    <mergeCell ref="H23:J23"/>
    <mergeCell ref="D13:E13"/>
    <mergeCell ref="F13:G13"/>
    <mergeCell ref="H13:J13"/>
    <mergeCell ref="H17:J17"/>
    <mergeCell ref="F16:G16"/>
    <mergeCell ref="D14:E14"/>
    <mergeCell ref="D15:E15"/>
    <mergeCell ref="H14:J14"/>
    <mergeCell ref="F14:G14"/>
    <mergeCell ref="H16:J16"/>
    <mergeCell ref="D16:E16"/>
    <mergeCell ref="F17:G17"/>
    <mergeCell ref="H15:J15"/>
    <mergeCell ref="H18:J18"/>
    <mergeCell ref="H19:J19"/>
    <mergeCell ref="H26:J26"/>
    <mergeCell ref="D26:E26"/>
    <mergeCell ref="F26:G26"/>
    <mergeCell ref="D25:E25"/>
    <mergeCell ref="F25:G25"/>
    <mergeCell ref="D23:E23"/>
    <mergeCell ref="D24:E24"/>
    <mergeCell ref="F23:G23"/>
    <mergeCell ref="F24:G24"/>
    <mergeCell ref="H24:J24"/>
    <mergeCell ref="H25:J25"/>
  </mergeCells>
  <phoneticPr fontId="0" type="noConversion"/>
  <pageMargins left="0.59055118110236227" right="0.27559055118110237" top="0.43307086614173229" bottom="0.39370078740157483" header="0" footer="0"/>
  <pageSetup paperSize="9" scale="74" orientation="portrait" horizontalDpi="4294967293" verticalDpi="300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K94"/>
  <sheetViews>
    <sheetView tabSelected="1" topLeftCell="A22" zoomScaleNormal="75" workbookViewId="0">
      <selection activeCell="E46" sqref="E46:F46"/>
    </sheetView>
  </sheetViews>
  <sheetFormatPr defaultColWidth="9.140625" defaultRowHeight="12.75"/>
  <cols>
    <col min="1" max="2" width="4.28515625" customWidth="1"/>
    <col min="3" max="10" width="12.42578125" customWidth="1"/>
    <col min="11" max="256" width="11.42578125" customWidth="1"/>
  </cols>
  <sheetData>
    <row r="1" spans="1:11">
      <c r="A1" s="3"/>
      <c r="B1" s="3"/>
      <c r="C1" s="4"/>
      <c r="D1" s="4"/>
      <c r="E1" s="4"/>
      <c r="F1" s="4"/>
      <c r="G1" s="4"/>
      <c r="H1" s="4"/>
      <c r="I1" s="4"/>
      <c r="J1" s="4"/>
      <c r="K1" s="3"/>
    </row>
    <row r="2" spans="1:11">
      <c r="A2" s="5"/>
      <c r="B2" s="5"/>
      <c r="C2" s="3"/>
      <c r="D2" s="3"/>
      <c r="E2" s="3"/>
      <c r="F2" s="3"/>
      <c r="G2" s="3"/>
      <c r="H2" s="3"/>
      <c r="I2" s="3"/>
      <c r="J2" s="3"/>
      <c r="K2" s="3"/>
    </row>
    <row r="3" spans="1:11">
      <c r="A3" s="5"/>
      <c r="B3" s="5"/>
      <c r="C3" s="3"/>
      <c r="D3" s="3"/>
      <c r="E3" s="3"/>
      <c r="F3" s="3"/>
      <c r="G3" s="3"/>
      <c r="H3" s="3"/>
      <c r="I3" s="3"/>
      <c r="J3" s="3"/>
      <c r="K3" s="3"/>
    </row>
    <row r="4" spans="1:11">
      <c r="A4" s="6"/>
      <c r="B4" s="6"/>
      <c r="C4" s="3"/>
      <c r="D4" s="3"/>
      <c r="E4" s="3"/>
      <c r="F4" s="3"/>
      <c r="G4" s="3"/>
      <c r="H4" s="3"/>
      <c r="I4" s="3"/>
      <c r="J4" s="3"/>
      <c r="K4" s="3"/>
    </row>
    <row r="5" spans="1:11">
      <c r="A5" s="5"/>
      <c r="B5" s="5"/>
      <c r="C5" s="3"/>
      <c r="D5" s="3"/>
      <c r="E5" s="3"/>
      <c r="F5" s="3"/>
      <c r="G5" s="3"/>
      <c r="H5" s="3"/>
      <c r="I5" s="3"/>
      <c r="J5" s="3"/>
      <c r="K5" s="3"/>
    </row>
    <row r="6" spans="1:11">
      <c r="A6" s="6"/>
      <c r="B6" s="6"/>
      <c r="C6" s="3"/>
      <c r="D6" s="3"/>
      <c r="E6" s="3"/>
      <c r="F6" s="3"/>
      <c r="G6" s="3"/>
      <c r="H6" s="3"/>
      <c r="I6" s="3"/>
      <c r="J6" s="3"/>
      <c r="K6" s="3"/>
    </row>
    <row r="7" spans="1:11">
      <c r="A7" s="6"/>
      <c r="B7" s="6"/>
      <c r="C7" s="3"/>
      <c r="D7" s="3"/>
      <c r="E7" s="284" t="s">
        <v>1</v>
      </c>
      <c r="F7" s="284"/>
      <c r="G7" s="284"/>
      <c r="H7" s="284"/>
      <c r="I7" s="237" t="s">
        <v>69</v>
      </c>
      <c r="J7" s="226">
        <f>CARÁTULA!$F$16</f>
        <v>2021</v>
      </c>
      <c r="K7" s="3"/>
    </row>
    <row r="8" spans="1:11">
      <c r="A8" s="6"/>
      <c r="B8" s="6"/>
      <c r="C8" s="3"/>
      <c r="D8" s="3"/>
      <c r="E8" s="3"/>
      <c r="F8" s="3"/>
      <c r="G8" s="3"/>
      <c r="H8" s="3"/>
      <c r="I8" s="3"/>
      <c r="J8" s="3"/>
      <c r="K8" s="3"/>
    </row>
    <row r="9" spans="1:11">
      <c r="A9" s="7"/>
      <c r="B9" s="7"/>
      <c r="C9" s="8"/>
      <c r="D9" s="8"/>
      <c r="E9" s="7"/>
      <c r="F9" s="8"/>
      <c r="G9" s="8"/>
      <c r="H9" s="8"/>
      <c r="I9" s="7"/>
      <c r="J9" s="7"/>
      <c r="K9" s="3"/>
    </row>
    <row r="10" spans="1:11">
      <c r="A10" s="9"/>
      <c r="B10" s="241" t="s">
        <v>3</v>
      </c>
      <c r="C10" s="241" t="s">
        <v>4</v>
      </c>
      <c r="D10" s="267" t="s">
        <v>5</v>
      </c>
      <c r="E10" s="267"/>
      <c r="F10" s="267" t="s">
        <v>6</v>
      </c>
      <c r="G10" s="267"/>
      <c r="H10" s="267" t="s">
        <v>7</v>
      </c>
      <c r="I10" s="267"/>
      <c r="J10" s="267"/>
      <c r="K10" s="3"/>
    </row>
    <row r="11" spans="1:11">
      <c r="A11" s="9"/>
      <c r="B11" s="18">
        <v>176</v>
      </c>
      <c r="C11" s="42">
        <v>44534</v>
      </c>
      <c r="D11" s="279" t="s">
        <v>70</v>
      </c>
      <c r="E11" s="279"/>
      <c r="F11" s="283">
        <v>46260</v>
      </c>
      <c r="G11" s="283"/>
      <c r="H11" s="279" t="s">
        <v>42</v>
      </c>
      <c r="I11" s="279"/>
      <c r="J11" s="279"/>
      <c r="K11" s="3"/>
    </row>
    <row r="12" spans="1:11">
      <c r="A12" s="9"/>
      <c r="B12" s="18">
        <v>177</v>
      </c>
      <c r="C12" s="42">
        <v>44532</v>
      </c>
      <c r="D12" s="266" t="s">
        <v>35</v>
      </c>
      <c r="E12" s="266"/>
      <c r="F12" s="269">
        <v>42150</v>
      </c>
      <c r="G12" s="269"/>
      <c r="H12" s="266" t="s">
        <v>42</v>
      </c>
      <c r="I12" s="266"/>
      <c r="J12" s="266"/>
      <c r="K12" s="3"/>
    </row>
    <row r="13" spans="1:11">
      <c r="A13" s="9"/>
      <c r="B13" s="18">
        <v>178</v>
      </c>
      <c r="C13" s="42">
        <v>44540</v>
      </c>
      <c r="D13" s="266" t="s">
        <v>71</v>
      </c>
      <c r="E13" s="266"/>
      <c r="F13" s="269">
        <v>44730</v>
      </c>
      <c r="G13" s="269"/>
      <c r="H13" s="266" t="s">
        <v>42</v>
      </c>
      <c r="I13" s="266"/>
      <c r="J13" s="266"/>
      <c r="K13" s="3"/>
    </row>
    <row r="14" spans="1:11">
      <c r="A14" s="9"/>
      <c r="B14" s="9">
        <v>180</v>
      </c>
      <c r="C14" s="42">
        <v>44542</v>
      </c>
      <c r="D14" s="335" t="s">
        <v>72</v>
      </c>
      <c r="E14" s="335"/>
      <c r="F14" s="269">
        <v>41940</v>
      </c>
      <c r="G14" s="269"/>
      <c r="H14" s="266" t="s">
        <v>42</v>
      </c>
      <c r="I14" s="266"/>
      <c r="J14" s="266"/>
      <c r="K14" s="3"/>
    </row>
    <row r="15" spans="1:11">
      <c r="A15" s="9"/>
      <c r="B15" s="9">
        <v>181</v>
      </c>
      <c r="C15" s="42">
        <v>44542</v>
      </c>
      <c r="D15" s="335" t="s">
        <v>70</v>
      </c>
      <c r="E15" s="335"/>
      <c r="F15" s="269">
        <v>44850</v>
      </c>
      <c r="G15" s="269"/>
      <c r="H15" s="266" t="s">
        <v>42</v>
      </c>
      <c r="I15" s="266"/>
      <c r="J15" s="266"/>
      <c r="K15" s="3"/>
    </row>
    <row r="16" spans="1:11">
      <c r="A16" s="9"/>
      <c r="B16" s="9">
        <v>182</v>
      </c>
      <c r="C16" s="42">
        <v>44543</v>
      </c>
      <c r="D16" s="335" t="s">
        <v>35</v>
      </c>
      <c r="E16" s="335"/>
      <c r="F16" s="269">
        <v>43200</v>
      </c>
      <c r="G16" s="269"/>
      <c r="H16" s="266" t="s">
        <v>42</v>
      </c>
      <c r="I16" s="266"/>
      <c r="J16" s="266"/>
      <c r="K16" s="3"/>
    </row>
    <row r="17" spans="1:11">
      <c r="A17" s="9"/>
      <c r="B17" s="9">
        <v>183</v>
      </c>
      <c r="C17" s="42">
        <v>44544</v>
      </c>
      <c r="D17" s="335" t="s">
        <v>71</v>
      </c>
      <c r="E17" s="335"/>
      <c r="F17" s="269">
        <v>39480</v>
      </c>
      <c r="G17" s="269"/>
      <c r="H17" s="266" t="s">
        <v>42</v>
      </c>
      <c r="I17" s="266"/>
      <c r="J17" s="266"/>
      <c r="K17" s="3"/>
    </row>
    <row r="18" spans="1:11">
      <c r="A18" s="9"/>
      <c r="B18" s="9">
        <v>184</v>
      </c>
      <c r="C18" s="42">
        <v>44545</v>
      </c>
      <c r="D18" s="335" t="s">
        <v>73</v>
      </c>
      <c r="E18" s="335"/>
      <c r="F18" s="269">
        <v>39750</v>
      </c>
      <c r="G18" s="269"/>
      <c r="H18" s="266" t="s">
        <v>42</v>
      </c>
      <c r="I18" s="266"/>
      <c r="J18" s="266"/>
      <c r="K18" s="3"/>
    </row>
    <row r="19" spans="1:11">
      <c r="A19" s="9"/>
      <c r="B19" s="9">
        <v>185</v>
      </c>
      <c r="C19" s="42">
        <v>44546</v>
      </c>
      <c r="D19" s="335" t="s">
        <v>72</v>
      </c>
      <c r="E19" s="335"/>
      <c r="F19" s="269">
        <v>44700</v>
      </c>
      <c r="G19" s="269"/>
      <c r="H19" s="266" t="s">
        <v>42</v>
      </c>
      <c r="I19" s="266"/>
      <c r="J19" s="266"/>
      <c r="K19" s="3"/>
    </row>
    <row r="20" spans="1:11">
      <c r="A20" s="9"/>
      <c r="B20" s="9">
        <v>186</v>
      </c>
      <c r="C20" s="42">
        <v>44547</v>
      </c>
      <c r="D20" s="335" t="s">
        <v>70</v>
      </c>
      <c r="E20" s="335"/>
      <c r="F20" s="269">
        <v>44730</v>
      </c>
      <c r="G20" s="269"/>
      <c r="H20" s="266" t="s">
        <v>42</v>
      </c>
      <c r="I20" s="266"/>
      <c r="J20" s="266"/>
      <c r="K20" s="3"/>
    </row>
    <row r="21" spans="1:11">
      <c r="A21" s="9"/>
      <c r="B21" s="9">
        <v>187</v>
      </c>
      <c r="C21" s="42">
        <v>44549</v>
      </c>
      <c r="D21" s="335" t="s">
        <v>73</v>
      </c>
      <c r="E21" s="335"/>
      <c r="F21" s="269">
        <v>37290</v>
      </c>
      <c r="G21" s="269"/>
      <c r="H21" s="266" t="s">
        <v>42</v>
      </c>
      <c r="I21" s="266"/>
      <c r="J21" s="266"/>
      <c r="K21" s="3"/>
    </row>
    <row r="22" spans="1:11">
      <c r="A22" s="9"/>
      <c r="B22" s="9">
        <v>188</v>
      </c>
      <c r="C22" s="42">
        <v>44542</v>
      </c>
      <c r="D22" s="266" t="s">
        <v>8</v>
      </c>
      <c r="E22" s="266"/>
      <c r="F22" s="269">
        <v>23670</v>
      </c>
      <c r="G22" s="269"/>
      <c r="H22" s="266" t="s">
        <v>42</v>
      </c>
      <c r="I22" s="266"/>
      <c r="J22" s="266"/>
      <c r="K22" s="3"/>
    </row>
    <row r="23" spans="1:11">
      <c r="A23" s="9"/>
      <c r="B23" s="9">
        <v>189</v>
      </c>
      <c r="C23" s="42">
        <v>44547</v>
      </c>
      <c r="D23" s="266" t="s">
        <v>71</v>
      </c>
      <c r="E23" s="266"/>
      <c r="F23" s="269">
        <v>41010</v>
      </c>
      <c r="G23" s="269"/>
      <c r="H23" s="266" t="s">
        <v>42</v>
      </c>
      <c r="I23" s="266"/>
      <c r="J23" s="266"/>
      <c r="K23" s="3"/>
    </row>
    <row r="24" spans="1:11">
      <c r="A24" s="9"/>
      <c r="B24" s="9">
        <v>190</v>
      </c>
      <c r="C24" s="42">
        <v>44548</v>
      </c>
      <c r="D24" s="335" t="s">
        <v>35</v>
      </c>
      <c r="E24" s="335"/>
      <c r="F24" s="269">
        <v>39900</v>
      </c>
      <c r="G24" s="269"/>
      <c r="H24" s="266" t="s">
        <v>42</v>
      </c>
      <c r="I24" s="266"/>
      <c r="J24" s="266"/>
      <c r="K24" s="3"/>
    </row>
    <row r="25" spans="1:11">
      <c r="A25" s="9"/>
      <c r="B25" s="9">
        <v>191</v>
      </c>
      <c r="C25" s="42">
        <v>44550</v>
      </c>
      <c r="D25" s="300" t="s">
        <v>72</v>
      </c>
      <c r="E25" s="266"/>
      <c r="F25" s="269">
        <v>33960</v>
      </c>
      <c r="G25" s="269"/>
      <c r="H25" s="266" t="s">
        <v>42</v>
      </c>
      <c r="I25" s="266"/>
      <c r="J25" s="266"/>
      <c r="K25" s="3"/>
    </row>
    <row r="26" spans="1:11">
      <c r="A26" s="9"/>
      <c r="B26" s="9">
        <v>192</v>
      </c>
      <c r="C26" s="42">
        <v>44558</v>
      </c>
      <c r="D26" s="266" t="s">
        <v>73</v>
      </c>
      <c r="E26" s="266"/>
      <c r="F26" s="269">
        <v>23130</v>
      </c>
      <c r="G26" s="269"/>
      <c r="H26" s="266" t="s">
        <v>42</v>
      </c>
      <c r="I26" s="266"/>
      <c r="J26" s="266"/>
      <c r="K26" s="3"/>
    </row>
    <row r="27" spans="1:11">
      <c r="A27" s="9"/>
      <c r="B27" s="9"/>
      <c r="C27" s="42"/>
      <c r="D27" s="266"/>
      <c r="E27" s="266"/>
      <c r="F27" s="269"/>
      <c r="G27" s="269"/>
      <c r="H27" s="266"/>
      <c r="I27" s="266"/>
      <c r="J27" s="266"/>
      <c r="K27" s="3"/>
    </row>
    <row r="28" spans="1:11">
      <c r="A28" s="9"/>
      <c r="B28" s="9"/>
      <c r="C28" s="42"/>
      <c r="D28" s="266"/>
      <c r="E28" s="266"/>
      <c r="F28" s="269"/>
      <c r="G28" s="269"/>
      <c r="H28" s="266"/>
      <c r="I28" s="266"/>
      <c r="J28" s="266"/>
      <c r="K28" s="3"/>
    </row>
    <row r="29" spans="1:11">
      <c r="A29" s="9"/>
      <c r="B29" s="9"/>
      <c r="C29" s="42"/>
      <c r="D29" s="266"/>
      <c r="E29" s="266"/>
      <c r="F29" s="269"/>
      <c r="G29" s="269"/>
      <c r="H29" s="266"/>
      <c r="I29" s="266"/>
      <c r="J29" s="266"/>
      <c r="K29" s="3"/>
    </row>
    <row r="30" spans="1:11">
      <c r="A30" s="9"/>
      <c r="B30" s="9"/>
      <c r="C30" s="42"/>
      <c r="D30" s="266"/>
      <c r="E30" s="266"/>
      <c r="F30" s="269"/>
      <c r="G30" s="269"/>
      <c r="H30" s="266"/>
      <c r="I30" s="266"/>
      <c r="J30" s="266"/>
      <c r="K30" s="3"/>
    </row>
    <row r="31" spans="1:11">
      <c r="A31" s="9"/>
      <c r="B31" s="9"/>
      <c r="C31" s="42"/>
      <c r="D31" s="266"/>
      <c r="E31" s="266"/>
      <c r="F31" s="269"/>
      <c r="G31" s="269"/>
      <c r="H31" s="266"/>
      <c r="I31" s="266"/>
      <c r="J31" s="266"/>
      <c r="K31" s="3"/>
    </row>
    <row r="32" spans="1:11">
      <c r="A32" s="9"/>
      <c r="B32" s="9"/>
      <c r="C32" s="42"/>
      <c r="D32" s="266"/>
      <c r="E32" s="266"/>
      <c r="F32" s="269"/>
      <c r="G32" s="269"/>
      <c r="H32" s="266"/>
      <c r="I32" s="266"/>
      <c r="J32" s="266"/>
      <c r="K32" s="3"/>
    </row>
    <row r="33" spans="1:11">
      <c r="A33" s="9"/>
      <c r="B33" s="9"/>
      <c r="C33" s="42"/>
      <c r="D33" s="266"/>
      <c r="E33" s="266"/>
      <c r="F33" s="269"/>
      <c r="G33" s="269"/>
      <c r="H33" s="266"/>
      <c r="I33" s="266"/>
      <c r="J33" s="266"/>
      <c r="K33" s="3"/>
    </row>
    <row r="34" spans="1:11">
      <c r="A34" s="9"/>
      <c r="B34" s="9"/>
      <c r="C34" s="42"/>
      <c r="D34" s="266"/>
      <c r="E34" s="266"/>
      <c r="F34" s="269"/>
      <c r="G34" s="269"/>
      <c r="H34" s="266"/>
      <c r="I34" s="266"/>
      <c r="J34" s="266"/>
      <c r="K34" s="3"/>
    </row>
    <row r="35" spans="1:11">
      <c r="A35" s="9"/>
      <c r="B35" s="9"/>
      <c r="C35" s="42"/>
      <c r="D35" s="266"/>
      <c r="E35" s="266"/>
      <c r="F35" s="269"/>
      <c r="G35" s="269"/>
      <c r="H35" s="266"/>
      <c r="I35" s="266"/>
      <c r="J35" s="266"/>
      <c r="K35" s="3"/>
    </row>
    <row r="36" spans="1:11">
      <c r="A36" s="9"/>
      <c r="B36" s="9"/>
      <c r="C36" s="42"/>
      <c r="D36" s="266"/>
      <c r="E36" s="266"/>
      <c r="F36" s="269"/>
      <c r="G36" s="269"/>
      <c r="H36" s="266"/>
      <c r="I36" s="266"/>
      <c r="J36" s="266"/>
      <c r="K36" s="3"/>
    </row>
    <row r="37" spans="1:11">
      <c r="A37" s="9"/>
      <c r="B37" s="9"/>
      <c r="C37" s="42"/>
      <c r="D37" s="266"/>
      <c r="E37" s="266"/>
      <c r="F37" s="269"/>
      <c r="G37" s="269"/>
      <c r="H37" s="266"/>
      <c r="I37" s="266"/>
      <c r="J37" s="266"/>
      <c r="K37" s="3"/>
    </row>
    <row r="38" spans="1:11">
      <c r="A38" s="9"/>
      <c r="B38" s="9"/>
      <c r="C38" s="42"/>
      <c r="D38" s="266"/>
      <c r="E38" s="266"/>
      <c r="F38" s="274"/>
      <c r="G38" s="274"/>
      <c r="H38" s="266"/>
      <c r="I38" s="266"/>
      <c r="J38" s="266"/>
      <c r="K38" s="3"/>
    </row>
    <row r="39" spans="1:11">
      <c r="A39" s="9"/>
      <c r="B39" s="9"/>
      <c r="C39" s="11"/>
      <c r="D39" s="10"/>
      <c r="E39" s="10"/>
      <c r="F39" s="280">
        <f>SUM(F11:G38)</f>
        <v>630750</v>
      </c>
      <c r="G39" s="281"/>
      <c r="H39" s="18"/>
      <c r="I39" s="18"/>
      <c r="J39" s="18"/>
      <c r="K39" s="3"/>
    </row>
    <row r="40" spans="1:11">
      <c r="A40" s="9"/>
      <c r="B40" s="9"/>
      <c r="C40" s="7"/>
      <c r="D40" s="7"/>
      <c r="E40" s="13"/>
      <c r="F40" s="7"/>
      <c r="G40" s="7"/>
      <c r="H40" s="7"/>
      <c r="I40" s="7"/>
      <c r="J40" s="7"/>
      <c r="K40" s="3"/>
    </row>
    <row r="41" spans="1:11">
      <c r="A41" s="9"/>
      <c r="B41" s="9"/>
      <c r="C41" s="7"/>
      <c r="D41" s="282" t="s">
        <v>15</v>
      </c>
      <c r="E41" s="282"/>
      <c r="F41" s="7"/>
      <c r="G41" s="41">
        <f>F39/1000</f>
        <v>630.75</v>
      </c>
      <c r="H41" s="7"/>
      <c r="I41" s="7"/>
      <c r="J41" s="7"/>
      <c r="K41" s="3"/>
    </row>
    <row r="42" spans="1:11">
      <c r="A42" s="9"/>
      <c r="B42" s="9"/>
      <c r="C42" s="7"/>
      <c r="D42" s="7"/>
      <c r="E42" s="13"/>
      <c r="F42" s="7"/>
      <c r="G42" s="7"/>
      <c r="H42" s="7"/>
      <c r="I42" s="7"/>
      <c r="J42" s="7"/>
      <c r="K42" s="3"/>
    </row>
    <row r="43" spans="1:11">
      <c r="A43" s="9"/>
      <c r="B43" s="9"/>
      <c r="C43" s="7"/>
      <c r="D43" s="7"/>
      <c r="E43" s="7"/>
      <c r="F43" s="7"/>
      <c r="G43" s="7"/>
      <c r="H43" s="7"/>
      <c r="I43" s="7"/>
      <c r="J43" s="7"/>
      <c r="K43" s="3"/>
    </row>
    <row r="44" spans="1:11">
      <c r="A44" s="9"/>
      <c r="B44" s="9"/>
      <c r="C44" s="267" t="s">
        <v>16</v>
      </c>
      <c r="D44" s="267"/>
      <c r="E44" s="267" t="s">
        <v>17</v>
      </c>
      <c r="F44" s="267"/>
      <c r="G44" s="241" t="s">
        <v>18</v>
      </c>
      <c r="H44" s="241" t="s">
        <v>19</v>
      </c>
      <c r="I44" s="7"/>
      <c r="J44" s="7"/>
      <c r="K44" s="3"/>
    </row>
    <row r="45" spans="1:11">
      <c r="A45" s="9"/>
      <c r="B45" s="9"/>
      <c r="C45" s="279" t="s">
        <v>74</v>
      </c>
      <c r="D45" s="279"/>
      <c r="E45" s="336">
        <f>F18+F21+F26</f>
        <v>100170</v>
      </c>
      <c r="F45" s="336"/>
      <c r="G45" s="43">
        <f>+E45/E50</f>
        <v>0.15881093935790724</v>
      </c>
      <c r="H45" s="45">
        <v>3</v>
      </c>
      <c r="I45" s="7"/>
      <c r="J45" s="7"/>
      <c r="K45" s="3"/>
    </row>
    <row r="46" spans="1:11">
      <c r="A46" s="9"/>
      <c r="B46" s="9"/>
      <c r="C46" s="266" t="s">
        <v>53</v>
      </c>
      <c r="D46" s="266"/>
      <c r="E46" s="336">
        <v>0</v>
      </c>
      <c r="F46" s="336"/>
      <c r="G46" s="43">
        <f>+E46/E50</f>
        <v>0</v>
      </c>
      <c r="H46" s="45">
        <v>0</v>
      </c>
      <c r="I46" s="7"/>
      <c r="J46" s="7"/>
      <c r="K46" s="3"/>
    </row>
    <row r="47" spans="1:11">
      <c r="A47" s="9"/>
      <c r="B47" s="9"/>
      <c r="C47" s="266" t="s">
        <v>75</v>
      </c>
      <c r="D47" s="266"/>
      <c r="E47" s="336">
        <f>F11+F12+F15+F16+F20+F22+F24</f>
        <v>284760</v>
      </c>
      <c r="F47" s="336"/>
      <c r="G47" s="43">
        <f>+E47/E50</f>
        <v>0.45146254458977408</v>
      </c>
      <c r="H47" s="45">
        <v>7</v>
      </c>
      <c r="I47" s="7"/>
      <c r="J47" s="7"/>
      <c r="K47" s="3"/>
    </row>
    <row r="48" spans="1:11">
      <c r="A48" s="9"/>
      <c r="B48" s="9"/>
      <c r="C48" s="266" t="s">
        <v>54</v>
      </c>
      <c r="D48" s="266"/>
      <c r="E48" s="269">
        <v>0</v>
      </c>
      <c r="F48" s="269"/>
      <c r="G48" s="43">
        <f>+E48/E50</f>
        <v>0</v>
      </c>
      <c r="H48" s="45">
        <v>0</v>
      </c>
      <c r="I48" s="7"/>
      <c r="J48" s="7"/>
      <c r="K48" s="3"/>
    </row>
    <row r="49" spans="1:11">
      <c r="A49" s="9"/>
      <c r="B49" s="9"/>
      <c r="C49" s="266" t="s">
        <v>76</v>
      </c>
      <c r="D49" s="266"/>
      <c r="E49" s="274">
        <f>F13+F14+F17+F19+F23+F25</f>
        <v>245820</v>
      </c>
      <c r="F49" s="274"/>
      <c r="G49" s="43">
        <f>+E49/E50</f>
        <v>0.38972651605231867</v>
      </c>
      <c r="H49" s="45">
        <v>6</v>
      </c>
      <c r="I49" s="7"/>
      <c r="J49" s="7"/>
      <c r="K49" s="3"/>
    </row>
    <row r="50" spans="1:11">
      <c r="A50" s="9"/>
      <c r="B50" s="9"/>
      <c r="C50" s="14"/>
      <c r="D50" s="238" t="s">
        <v>24</v>
      </c>
      <c r="E50" s="337">
        <f>SUM(E45:F49)</f>
        <v>630750</v>
      </c>
      <c r="F50" s="337"/>
      <c r="G50" s="44">
        <f>SUM(G45:G49)</f>
        <v>1</v>
      </c>
      <c r="H50" s="46">
        <f>SUM(H45:H49)</f>
        <v>16</v>
      </c>
      <c r="I50" s="7"/>
      <c r="J50" s="7"/>
      <c r="K50" s="3"/>
    </row>
    <row r="51" spans="1:11">
      <c r="A51" s="9"/>
      <c r="B51" s="9"/>
      <c r="C51" s="15"/>
      <c r="D51" s="15"/>
      <c r="E51" s="10"/>
      <c r="F51" s="10"/>
      <c r="G51" s="10"/>
      <c r="H51" s="7"/>
      <c r="I51" s="7"/>
      <c r="J51" s="7"/>
      <c r="K51" s="3"/>
    </row>
    <row r="52" spans="1:11">
      <c r="A52" s="9"/>
      <c r="B52" s="9"/>
      <c r="C52" s="7"/>
      <c r="D52" s="7"/>
      <c r="E52" s="12"/>
      <c r="F52" s="16"/>
      <c r="G52" s="17"/>
      <c r="H52" s="7"/>
      <c r="I52" s="7"/>
      <c r="J52" s="7"/>
      <c r="K52" s="3"/>
    </row>
    <row r="53" spans="1:11">
      <c r="A53" s="9"/>
      <c r="B53" s="9"/>
      <c r="C53" s="40"/>
      <c r="D53" s="7"/>
      <c r="E53" s="12"/>
      <c r="F53" s="16"/>
      <c r="G53" s="17"/>
      <c r="H53" s="7"/>
      <c r="I53" s="7"/>
      <c r="J53" s="7"/>
      <c r="K53" s="3"/>
    </row>
    <row r="54" spans="1:11">
      <c r="A54" s="9"/>
      <c r="B54" s="9"/>
      <c r="C54" s="270" t="s">
        <v>7</v>
      </c>
      <c r="D54" s="271"/>
      <c r="E54" s="272"/>
      <c r="F54" s="273" t="s">
        <v>6</v>
      </c>
      <c r="G54" s="267"/>
      <c r="H54" s="241" t="s">
        <v>18</v>
      </c>
      <c r="I54" s="7"/>
      <c r="J54" s="7"/>
      <c r="K54" s="3"/>
    </row>
    <row r="55" spans="1:11">
      <c r="A55" s="9"/>
      <c r="B55" s="9"/>
      <c r="C55" s="266" t="s">
        <v>25</v>
      </c>
      <c r="D55" s="266"/>
      <c r="E55" s="266"/>
      <c r="F55" s="283">
        <v>0</v>
      </c>
      <c r="G55" s="283"/>
      <c r="H55" s="43">
        <f>+F55/F58</f>
        <v>0</v>
      </c>
      <c r="I55" s="7"/>
      <c r="J55" s="7"/>
      <c r="K55" s="3"/>
    </row>
    <row r="56" spans="1:11">
      <c r="A56" s="9"/>
      <c r="B56" s="9"/>
      <c r="C56" s="266" t="s">
        <v>26</v>
      </c>
      <c r="D56" s="266"/>
      <c r="E56" s="266"/>
      <c r="F56" s="269">
        <f>F39</f>
        <v>630750</v>
      </c>
      <c r="G56" s="269"/>
      <c r="H56" s="43">
        <f>+F56/F58</f>
        <v>1</v>
      </c>
      <c r="I56" s="7"/>
      <c r="J56" s="7"/>
      <c r="K56" s="3"/>
    </row>
    <row r="57" spans="1:11">
      <c r="A57" s="9"/>
      <c r="B57" s="9"/>
      <c r="C57" s="7"/>
      <c r="D57" s="7"/>
      <c r="E57" s="7"/>
      <c r="F57" s="236"/>
      <c r="G57" s="236"/>
      <c r="H57" s="43"/>
      <c r="I57" s="7"/>
      <c r="J57" s="7"/>
      <c r="K57" s="3"/>
    </row>
    <row r="58" spans="1:11">
      <c r="A58" s="9"/>
      <c r="B58" s="9"/>
      <c r="C58" s="7"/>
      <c r="D58" s="7" t="s">
        <v>24</v>
      </c>
      <c r="E58" s="7"/>
      <c r="F58" s="277">
        <f>SUM(F55:G57)</f>
        <v>630750</v>
      </c>
      <c r="G58" s="277"/>
      <c r="H58" s="44">
        <f>SUM(H55:H57)</f>
        <v>1</v>
      </c>
      <c r="I58" s="7"/>
      <c r="J58" s="7"/>
      <c r="K58" s="3"/>
    </row>
    <row r="59" spans="1:11">
      <c r="A59" s="9"/>
      <c r="B59" s="9"/>
      <c r="C59" s="7"/>
      <c r="D59" s="7"/>
      <c r="E59" s="7"/>
      <c r="F59" s="47"/>
      <c r="G59" s="47"/>
      <c r="H59" s="49"/>
      <c r="I59" s="7"/>
      <c r="J59" s="7"/>
      <c r="K59" s="3"/>
    </row>
    <row r="60" spans="1:11">
      <c r="A60" s="9"/>
      <c r="B60" s="9"/>
      <c r="C60" s="7"/>
      <c r="D60" s="7"/>
      <c r="E60" s="7"/>
      <c r="F60" s="47"/>
      <c r="G60" s="47"/>
      <c r="H60" s="49"/>
      <c r="I60" s="7"/>
      <c r="J60" s="7"/>
      <c r="K60" s="3"/>
    </row>
    <row r="61" spans="1:11">
      <c r="A61" s="9"/>
      <c r="B61" s="9"/>
      <c r="C61" s="7"/>
      <c r="D61" s="3"/>
      <c r="E61" s="3"/>
      <c r="F61" s="3"/>
      <c r="G61" s="3"/>
      <c r="H61" s="50"/>
      <c r="I61" s="7"/>
      <c r="J61" s="7"/>
      <c r="K61" s="3"/>
    </row>
    <row r="62" spans="1:11">
      <c r="A62" s="9"/>
      <c r="B62" s="9"/>
      <c r="C62" s="7"/>
      <c r="D62" s="36"/>
      <c r="E62" s="37"/>
      <c r="F62" s="3"/>
      <c r="G62" s="3"/>
      <c r="H62" s="7"/>
      <c r="I62" s="7"/>
      <c r="J62" s="7"/>
      <c r="K62" s="3"/>
    </row>
    <row r="63" spans="1:11">
      <c r="A63" s="9"/>
      <c r="B63" s="9"/>
      <c r="C63" s="7"/>
      <c r="D63" s="3"/>
      <c r="E63" s="278" t="s">
        <v>27</v>
      </c>
      <c r="F63" s="278"/>
      <c r="G63" s="278"/>
      <c r="H63" s="278"/>
      <c r="I63" s="7"/>
      <c r="J63" s="7"/>
      <c r="K63" s="3"/>
    </row>
    <row r="64" spans="1:11">
      <c r="A64" s="9"/>
      <c r="B64" s="9"/>
      <c r="C64" s="7"/>
      <c r="D64" s="56"/>
      <c r="E64" s="7"/>
      <c r="F64" s="7"/>
      <c r="G64" s="7"/>
      <c r="H64" s="7"/>
      <c r="I64" s="7"/>
      <c r="J64" s="7"/>
      <c r="K64" s="3"/>
    </row>
    <row r="65" spans="1:11">
      <c r="A65" s="7"/>
      <c r="B65" s="7"/>
      <c r="C65" s="7"/>
      <c r="D65" s="55" t="s">
        <v>28</v>
      </c>
      <c r="E65" s="275">
        <v>2020</v>
      </c>
      <c r="F65" s="276"/>
      <c r="G65" s="275">
        <v>2021</v>
      </c>
      <c r="H65" s="276"/>
      <c r="I65" s="7"/>
      <c r="J65" s="7"/>
      <c r="K65" s="3"/>
    </row>
    <row r="66" spans="1:11">
      <c r="A66" s="7"/>
      <c r="B66" s="7"/>
      <c r="C66" s="7"/>
      <c r="D66" s="54" t="s">
        <v>29</v>
      </c>
      <c r="E66" s="51" t="s">
        <v>30</v>
      </c>
      <c r="F66" s="51" t="s">
        <v>31</v>
      </c>
      <c r="G66" s="51" t="s">
        <v>30</v>
      </c>
      <c r="H66" s="51" t="s">
        <v>31</v>
      </c>
      <c r="I66" s="7"/>
      <c r="J66" s="7"/>
      <c r="K66" s="3"/>
    </row>
    <row r="67" spans="1:11">
      <c r="A67" s="7"/>
      <c r="B67" s="7"/>
      <c r="C67" s="7"/>
      <c r="D67" s="52"/>
      <c r="E67" s="28"/>
      <c r="F67" s="177"/>
      <c r="G67" s="28"/>
      <c r="H67" s="29"/>
      <c r="I67" s="7"/>
      <c r="J67" s="7"/>
      <c r="K67" s="3"/>
    </row>
    <row r="68" spans="1:11">
      <c r="A68" s="7"/>
      <c r="B68" s="7"/>
      <c r="C68" s="7"/>
      <c r="D68" s="83" t="s">
        <v>32</v>
      </c>
      <c r="E68" s="84">
        <f>'NOV 2021'!E67</f>
        <v>417.84</v>
      </c>
      <c r="F68" s="177">
        <v>15</v>
      </c>
      <c r="G68" s="84">
        <f>'ENE 2021'!G46</f>
        <v>1008.93</v>
      </c>
      <c r="H68" s="85">
        <f>'ENE 2021'!H55</f>
        <v>32</v>
      </c>
      <c r="I68" s="7"/>
      <c r="J68" s="7"/>
      <c r="K68" s="3"/>
    </row>
    <row r="69" spans="1:11">
      <c r="A69" s="7"/>
      <c r="B69" s="7"/>
      <c r="C69" s="7"/>
      <c r="D69" s="86" t="s">
        <v>38</v>
      </c>
      <c r="E69" s="31">
        <f>'NOV 2021'!E68</f>
        <v>591.57000000000005</v>
      </c>
      <c r="F69" s="177">
        <v>22</v>
      </c>
      <c r="G69" s="31">
        <f>'FEB 2021'!G48</f>
        <v>719.82</v>
      </c>
      <c r="H69" s="32">
        <f>'FEB 2021'!H57</f>
        <v>25</v>
      </c>
      <c r="I69" s="7"/>
      <c r="J69" s="7"/>
      <c r="K69" s="3"/>
    </row>
    <row r="70" spans="1:11">
      <c r="A70" s="7"/>
      <c r="B70" s="7"/>
      <c r="C70" s="7"/>
      <c r="D70" s="88" t="s">
        <v>40</v>
      </c>
      <c r="E70" s="31">
        <f>'NOV 2021'!E69</f>
        <v>408.24</v>
      </c>
      <c r="F70" s="177">
        <v>13</v>
      </c>
      <c r="G70" s="31">
        <f>'MAR 2021'!G43</f>
        <v>815.73</v>
      </c>
      <c r="H70" s="32">
        <f>'MAR 2021'!H51</f>
        <v>26</v>
      </c>
      <c r="I70" s="7"/>
      <c r="J70" s="7"/>
      <c r="K70" s="3"/>
    </row>
    <row r="71" spans="1:11">
      <c r="A71" s="7"/>
      <c r="B71" s="7"/>
      <c r="C71" s="7"/>
      <c r="D71" s="88" t="s">
        <v>43</v>
      </c>
      <c r="E71" s="31">
        <f>'NOV 2021'!E70</f>
        <v>188.13</v>
      </c>
      <c r="F71" s="177">
        <v>6</v>
      </c>
      <c r="G71" s="36">
        <f>'ABR 2021'!G41</f>
        <v>323.73</v>
      </c>
      <c r="H71" s="32">
        <f>'ABR 2021'!H50</f>
        <v>11</v>
      </c>
      <c r="I71" s="7"/>
      <c r="J71" s="7"/>
      <c r="K71" s="3"/>
    </row>
    <row r="72" spans="1:11">
      <c r="A72" s="7"/>
      <c r="B72" s="7"/>
      <c r="C72" s="7"/>
      <c r="D72" s="86" t="s">
        <v>45</v>
      </c>
      <c r="E72" s="31">
        <f>'NOV 2021'!E71</f>
        <v>279.93</v>
      </c>
      <c r="F72" s="177">
        <v>8</v>
      </c>
      <c r="G72" s="31">
        <f>'MAY 2021'!G44</f>
        <v>142.35</v>
      </c>
      <c r="H72" s="32">
        <f>'MAY 2021'!H52</f>
        <v>6</v>
      </c>
      <c r="I72" s="7"/>
      <c r="J72" s="7"/>
      <c r="K72" s="3"/>
    </row>
    <row r="73" spans="1:11">
      <c r="A73" s="7"/>
      <c r="B73" s="7"/>
      <c r="C73" s="7"/>
      <c r="D73" s="88" t="s">
        <v>47</v>
      </c>
      <c r="E73" s="31">
        <f>'NOV 2021'!E72</f>
        <v>202.08</v>
      </c>
      <c r="F73" s="177">
        <v>7</v>
      </c>
      <c r="G73" s="36">
        <f>'JUN 2021'!G33</f>
        <v>189.81</v>
      </c>
      <c r="H73" s="32">
        <f>'JUN 2021'!H42</f>
        <v>6</v>
      </c>
      <c r="I73" s="7"/>
      <c r="J73" s="7"/>
      <c r="K73" s="3"/>
    </row>
    <row r="74" spans="1:11">
      <c r="A74" s="7"/>
      <c r="B74" s="7"/>
      <c r="C74" s="7"/>
      <c r="D74" s="88" t="s">
        <v>55</v>
      </c>
      <c r="E74" s="31">
        <f>'NOV 2021'!E73</f>
        <v>178.92</v>
      </c>
      <c r="F74" s="177">
        <v>6</v>
      </c>
      <c r="G74" s="36">
        <f>'JUL 2021'!G33</f>
        <v>288.27</v>
      </c>
      <c r="H74" s="32">
        <f>'JUL 2021'!H42</f>
        <v>7</v>
      </c>
      <c r="I74" s="7"/>
      <c r="J74" s="7"/>
      <c r="K74" s="3"/>
    </row>
    <row r="75" spans="1:11">
      <c r="A75" s="7"/>
      <c r="B75" s="7"/>
      <c r="C75" s="7"/>
      <c r="D75" s="88" t="s">
        <v>59</v>
      </c>
      <c r="E75" s="31">
        <f>'NOV 2021'!E74</f>
        <v>155.82</v>
      </c>
      <c r="F75" s="177">
        <v>6</v>
      </c>
      <c r="G75" s="36">
        <f>'AGO 2021'!G32</f>
        <v>642.03</v>
      </c>
      <c r="H75" s="32">
        <f>'AGO 2021'!H40</f>
        <v>12</v>
      </c>
      <c r="I75" s="7"/>
      <c r="J75" s="7"/>
      <c r="K75" s="3"/>
    </row>
    <row r="76" spans="1:11">
      <c r="A76" s="7"/>
      <c r="B76" s="7"/>
      <c r="C76" s="7"/>
      <c r="D76" s="88" t="s">
        <v>62</v>
      </c>
      <c r="E76" s="31">
        <f>'NOV 2021'!E75</f>
        <v>414.9</v>
      </c>
      <c r="F76" s="177">
        <v>11</v>
      </c>
      <c r="G76" s="36">
        <f>'SEP 2021'!G43</f>
        <v>288.39</v>
      </c>
      <c r="H76" s="32">
        <f>'SEP 2021'!H53</f>
        <v>7</v>
      </c>
      <c r="I76" s="7"/>
      <c r="J76" s="7"/>
      <c r="K76" s="3"/>
    </row>
    <row r="77" spans="1:11">
      <c r="A77" s="7"/>
      <c r="B77" s="7"/>
      <c r="C77" s="7"/>
      <c r="D77" s="88" t="s">
        <v>64</v>
      </c>
      <c r="E77" s="31">
        <f>'NOV 2021'!E76</f>
        <v>417.42</v>
      </c>
      <c r="F77" s="177">
        <v>9</v>
      </c>
      <c r="G77" s="36">
        <f>'OCT 2021'!G39</f>
        <v>96.24</v>
      </c>
      <c r="H77" s="32">
        <f>'OCT 2021'!H49</f>
        <v>3</v>
      </c>
      <c r="I77" s="7"/>
      <c r="J77" s="7"/>
      <c r="K77" s="3"/>
    </row>
    <row r="78" spans="1:11">
      <c r="A78" s="7"/>
      <c r="B78" s="7"/>
      <c r="C78" s="7"/>
      <c r="D78" s="88" t="s">
        <v>68</v>
      </c>
      <c r="E78" s="31">
        <f>'NOV 2021'!E77</f>
        <v>225.54</v>
      </c>
      <c r="F78" s="177">
        <v>7</v>
      </c>
      <c r="G78" s="36">
        <f>+'NOV 2021'!G41</f>
        <v>509.25</v>
      </c>
      <c r="H78" s="32">
        <f>'NOV 2021'!H51</f>
        <v>12</v>
      </c>
      <c r="I78" s="7"/>
      <c r="J78" s="7"/>
      <c r="K78" s="3"/>
    </row>
    <row r="79" spans="1:11">
      <c r="A79" s="7"/>
      <c r="B79" s="7"/>
      <c r="C79" s="7"/>
      <c r="D79" s="87" t="s">
        <v>77</v>
      </c>
      <c r="E79" s="34">
        <v>905.16</v>
      </c>
      <c r="F79" s="180">
        <v>24</v>
      </c>
      <c r="G79" s="34">
        <f>'DIC 2021'!G41</f>
        <v>630.75</v>
      </c>
      <c r="H79" s="35">
        <f>H50</f>
        <v>16</v>
      </c>
      <c r="I79" s="7"/>
      <c r="J79" s="7"/>
      <c r="K79" s="3"/>
    </row>
    <row r="80" spans="1:11">
      <c r="A80" s="7"/>
      <c r="B80" s="7"/>
      <c r="C80" s="7"/>
      <c r="D80" s="7"/>
      <c r="E80" s="7"/>
      <c r="F80" s="7"/>
      <c r="G80" s="7"/>
      <c r="H80" s="7"/>
      <c r="I80" s="7"/>
      <c r="J80" s="7"/>
      <c r="K80" s="3"/>
    </row>
    <row r="81" spans="1:11">
      <c r="A81" s="7"/>
      <c r="B81" s="7"/>
      <c r="C81" s="7"/>
      <c r="D81" s="7"/>
      <c r="E81" s="58">
        <f>SUM(E68:E80)</f>
        <v>4385.5500000000011</v>
      </c>
      <c r="F81" s="59">
        <f>SUM(F68:F80)</f>
        <v>134</v>
      </c>
      <c r="G81" s="58">
        <f>SUM(G68:G79)</f>
        <v>5655.3</v>
      </c>
      <c r="H81" s="59">
        <f>SUM(H68:H79)</f>
        <v>163</v>
      </c>
      <c r="I81" s="7"/>
      <c r="J81" s="7"/>
      <c r="K81" s="3"/>
    </row>
    <row r="82" spans="1:11">
      <c r="A82" s="7"/>
      <c r="B82" s="7"/>
      <c r="C82" s="7"/>
      <c r="D82" s="7"/>
      <c r="E82" s="7"/>
      <c r="F82" s="7"/>
      <c r="G82" s="7"/>
      <c r="H82" s="7"/>
      <c r="I82" s="7"/>
      <c r="J82" s="7"/>
    </row>
    <row r="83" spans="1:11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1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1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1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1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1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1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1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1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1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1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1">
      <c r="A94" s="3"/>
      <c r="B94" s="3"/>
      <c r="C94" s="3"/>
      <c r="D94" s="3"/>
      <c r="E94" s="3"/>
      <c r="F94" s="3"/>
      <c r="G94" s="3"/>
      <c r="H94" s="3"/>
      <c r="I94" s="3"/>
      <c r="J94" s="3"/>
    </row>
  </sheetData>
  <mergeCells count="113">
    <mergeCell ref="E7:H7"/>
    <mergeCell ref="D12:E12"/>
    <mergeCell ref="H12:J12"/>
    <mergeCell ref="D13:E13"/>
    <mergeCell ref="F13:G13"/>
    <mergeCell ref="D11:E11"/>
    <mergeCell ref="F11:G11"/>
    <mergeCell ref="H11:J11"/>
    <mergeCell ref="F12:G12"/>
    <mergeCell ref="H13:J13"/>
    <mergeCell ref="D10:E10"/>
    <mergeCell ref="F10:G10"/>
    <mergeCell ref="H10:J10"/>
    <mergeCell ref="D22:E22"/>
    <mergeCell ref="D23:E23"/>
    <mergeCell ref="D24:E24"/>
    <mergeCell ref="D25:E25"/>
    <mergeCell ref="D20:E20"/>
    <mergeCell ref="F20:G20"/>
    <mergeCell ref="H24:J24"/>
    <mergeCell ref="D14:E14"/>
    <mergeCell ref="F14:G14"/>
    <mergeCell ref="H14:J14"/>
    <mergeCell ref="F19:G19"/>
    <mergeCell ref="H19:J19"/>
    <mergeCell ref="D21:E21"/>
    <mergeCell ref="F21:G21"/>
    <mergeCell ref="F22:G22"/>
    <mergeCell ref="F23:G23"/>
    <mergeCell ref="H21:J21"/>
    <mergeCell ref="H22:J22"/>
    <mergeCell ref="H23:J23"/>
    <mergeCell ref="D15:E15"/>
    <mergeCell ref="F15:G15"/>
    <mergeCell ref="H15:J15"/>
    <mergeCell ref="D16:E16"/>
    <mergeCell ref="F16:G16"/>
    <mergeCell ref="H16:J16"/>
    <mergeCell ref="H20:J20"/>
    <mergeCell ref="D17:E17"/>
    <mergeCell ref="F17:G17"/>
    <mergeCell ref="H17:J17"/>
    <mergeCell ref="D18:E18"/>
    <mergeCell ref="F18:G18"/>
    <mergeCell ref="H18:J18"/>
    <mergeCell ref="D19:E19"/>
    <mergeCell ref="E65:F65"/>
    <mergeCell ref="G65:H65"/>
    <mergeCell ref="F24:G24"/>
    <mergeCell ref="F25:G25"/>
    <mergeCell ref="E47:F47"/>
    <mergeCell ref="C56:E56"/>
    <mergeCell ref="F27:G27"/>
    <mergeCell ref="F26:G26"/>
    <mergeCell ref="D28:E28"/>
    <mergeCell ref="D29:E29"/>
    <mergeCell ref="F58:G58"/>
    <mergeCell ref="E63:H63"/>
    <mergeCell ref="E50:F50"/>
    <mergeCell ref="C54:E54"/>
    <mergeCell ref="F54:G54"/>
    <mergeCell ref="C55:E55"/>
    <mergeCell ref="F55:G55"/>
    <mergeCell ref="F56:G56"/>
    <mergeCell ref="E49:F49"/>
    <mergeCell ref="C49:D49"/>
    <mergeCell ref="D38:E38"/>
    <mergeCell ref="F38:G38"/>
    <mergeCell ref="H25:J25"/>
    <mergeCell ref="H26:J26"/>
    <mergeCell ref="H27:J27"/>
    <mergeCell ref="D30:E30"/>
    <mergeCell ref="D31:E31"/>
    <mergeCell ref="D26:E26"/>
    <mergeCell ref="D27:E27"/>
    <mergeCell ref="H28:J28"/>
    <mergeCell ref="H29:J29"/>
    <mergeCell ref="H30:J30"/>
    <mergeCell ref="H33:J33"/>
    <mergeCell ref="H34:J34"/>
    <mergeCell ref="H35:J35"/>
    <mergeCell ref="H31:J31"/>
    <mergeCell ref="F28:G28"/>
    <mergeCell ref="F29:G29"/>
    <mergeCell ref="F30:G30"/>
    <mergeCell ref="F31:G31"/>
    <mergeCell ref="H32:J32"/>
    <mergeCell ref="C46:D46"/>
    <mergeCell ref="D32:E32"/>
    <mergeCell ref="F32:G32"/>
    <mergeCell ref="F33:G33"/>
    <mergeCell ref="D33:E33"/>
    <mergeCell ref="D34:E34"/>
    <mergeCell ref="H36:J36"/>
    <mergeCell ref="H37:J37"/>
    <mergeCell ref="H38:J38"/>
    <mergeCell ref="F34:G34"/>
    <mergeCell ref="C48:D48"/>
    <mergeCell ref="E48:F48"/>
    <mergeCell ref="F39:G39"/>
    <mergeCell ref="D41:E41"/>
    <mergeCell ref="E44:F44"/>
    <mergeCell ref="C44:D44"/>
    <mergeCell ref="C47:D47"/>
    <mergeCell ref="E46:F46"/>
    <mergeCell ref="D35:E35"/>
    <mergeCell ref="D37:E37"/>
    <mergeCell ref="F37:G37"/>
    <mergeCell ref="D36:E36"/>
    <mergeCell ref="C45:D45"/>
    <mergeCell ref="F35:G35"/>
    <mergeCell ref="F36:G36"/>
    <mergeCell ref="E45:F45"/>
  </mergeCells>
  <phoneticPr fontId="0" type="noConversion"/>
  <pageMargins left="0.59055118110236227" right="0.75" top="1" bottom="1" header="0" footer="0"/>
  <pageSetup paperSize="9" scale="63" orientation="portrait" horizontalDpi="4294967293" verticalDpi="300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BB180"/>
  <sheetViews>
    <sheetView topLeftCell="AF1" zoomScaleNormal="100" zoomScaleSheetLayoutView="100" workbookViewId="0">
      <selection activeCell="BB31" sqref="BB31"/>
    </sheetView>
  </sheetViews>
  <sheetFormatPr defaultColWidth="9.140625" defaultRowHeight="12.75"/>
  <cols>
    <col min="1" max="1" width="3.140625" customWidth="1"/>
    <col min="2" max="2" width="11.85546875" customWidth="1"/>
    <col min="3" max="3" width="12.140625" customWidth="1"/>
    <col min="4" max="4" width="17" bestFit="1" customWidth="1"/>
    <col min="5" max="5" width="11.85546875" customWidth="1"/>
    <col min="6" max="6" width="10.5703125" customWidth="1"/>
    <col min="7" max="7" width="11.85546875" customWidth="1"/>
    <col min="8" max="8" width="16.85546875" bestFit="1" customWidth="1"/>
    <col min="9" max="9" width="11.85546875" customWidth="1"/>
    <col min="10" max="10" width="13.85546875" customWidth="1"/>
    <col min="11" max="31" width="11.85546875" customWidth="1"/>
    <col min="32" max="39" width="9.7109375" customWidth="1"/>
    <col min="40" max="40" width="8.85546875" customWidth="1"/>
    <col min="41" max="41" width="9.7109375" customWidth="1"/>
    <col min="42" max="42" width="9.28515625" customWidth="1"/>
    <col min="43" max="43" width="9.7109375" customWidth="1"/>
    <col min="44" max="50" width="9.28515625" customWidth="1"/>
    <col min="51" max="51" width="10.85546875" customWidth="1"/>
    <col min="52" max="256" width="11.42578125" customWidth="1"/>
  </cols>
  <sheetData>
    <row r="1" spans="1:54">
      <c r="A1" s="3"/>
      <c r="B1" s="4"/>
      <c r="C1" s="4"/>
      <c r="D1" s="4"/>
      <c r="E1" s="4"/>
      <c r="F1" s="4"/>
      <c r="G1" s="4"/>
      <c r="H1" s="4"/>
      <c r="I1" s="4"/>
      <c r="J1" s="3"/>
      <c r="K1" s="3"/>
      <c r="L1" s="3"/>
      <c r="M1" s="3"/>
      <c r="N1" s="3"/>
      <c r="O1" s="3"/>
      <c r="P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BA1" s="196"/>
      <c r="BB1" s="196"/>
    </row>
    <row r="2" spans="1:54">
      <c r="A2" s="5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196"/>
      <c r="AZ2" s="196"/>
      <c r="BA2" s="196"/>
      <c r="BB2" s="196"/>
    </row>
    <row r="3" spans="1:54">
      <c r="A3" s="5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196"/>
      <c r="AZ3" s="196"/>
      <c r="BA3" s="196"/>
      <c r="BB3" s="196"/>
    </row>
    <row r="4" spans="1:54">
      <c r="A4" s="6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196"/>
      <c r="AZ4" s="196"/>
      <c r="BA4" s="196"/>
      <c r="BB4" s="196"/>
    </row>
    <row r="5" spans="1:54">
      <c r="A5" s="5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196"/>
      <c r="AZ5" s="196"/>
      <c r="BA5" s="196"/>
      <c r="BB5" s="196"/>
    </row>
    <row r="6" spans="1:54">
      <c r="A6" s="5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196"/>
      <c r="AZ6" s="196"/>
      <c r="BA6" s="196"/>
      <c r="BB6" s="196"/>
    </row>
    <row r="7" spans="1:54">
      <c r="A7" s="5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196"/>
      <c r="AZ7" s="196"/>
      <c r="BA7" s="196"/>
      <c r="BB7" s="196"/>
    </row>
    <row r="8" spans="1:54">
      <c r="A8" s="5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196"/>
      <c r="AZ8" s="196"/>
      <c r="BA8" s="196"/>
      <c r="BB8" s="196"/>
    </row>
    <row r="9" spans="1:54">
      <c r="A9" s="5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196"/>
      <c r="AZ9" s="196"/>
      <c r="BA9" s="196"/>
      <c r="BB9" s="196"/>
    </row>
    <row r="10" spans="1:54">
      <c r="A10" s="5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196"/>
      <c r="AZ10" s="196"/>
      <c r="BA10" s="196"/>
      <c r="BB10" s="196"/>
    </row>
    <row r="11" spans="1:54" ht="12.75" customHeight="1">
      <c r="A11" s="6"/>
      <c r="B11" s="25" t="s">
        <v>28</v>
      </c>
      <c r="C11" s="323">
        <v>1998</v>
      </c>
      <c r="D11" s="324"/>
      <c r="E11" s="323">
        <v>1999</v>
      </c>
      <c r="F11" s="324"/>
      <c r="G11" s="323">
        <v>2000</v>
      </c>
      <c r="H11" s="324"/>
      <c r="I11" s="323">
        <v>2001</v>
      </c>
      <c r="J11" s="324"/>
      <c r="K11" s="323">
        <v>2002</v>
      </c>
      <c r="L11" s="324"/>
      <c r="M11" s="323">
        <v>2003</v>
      </c>
      <c r="N11" s="324"/>
      <c r="O11" s="289">
        <v>2004</v>
      </c>
      <c r="P11" s="291"/>
      <c r="Q11" s="323">
        <v>2005</v>
      </c>
      <c r="R11" s="324"/>
      <c r="S11" s="289">
        <v>2006</v>
      </c>
      <c r="T11" s="291"/>
      <c r="U11" s="289">
        <v>2007</v>
      </c>
      <c r="V11" s="291"/>
      <c r="W11" s="289">
        <v>2008</v>
      </c>
      <c r="X11" s="291"/>
      <c r="Y11" s="289">
        <v>2009</v>
      </c>
      <c r="Z11" s="291"/>
      <c r="AA11" s="289">
        <v>2010</v>
      </c>
      <c r="AB11" s="291"/>
      <c r="AC11" s="289">
        <v>2011</v>
      </c>
      <c r="AD11" s="291"/>
      <c r="AE11" s="289">
        <v>2012</v>
      </c>
      <c r="AF11" s="291"/>
      <c r="AG11" s="289">
        <v>2013</v>
      </c>
      <c r="AH11" s="291"/>
      <c r="AI11" s="289">
        <v>2014</v>
      </c>
      <c r="AJ11" s="291"/>
      <c r="AK11" s="289">
        <v>2015</v>
      </c>
      <c r="AL11" s="291"/>
      <c r="AM11" s="289">
        <v>2016</v>
      </c>
      <c r="AN11" s="291"/>
      <c r="AO11" s="289">
        <v>2017</v>
      </c>
      <c r="AP11" s="291"/>
      <c r="AQ11" s="289">
        <v>2018</v>
      </c>
      <c r="AR11" s="291"/>
      <c r="AS11" s="289">
        <v>2019</v>
      </c>
      <c r="AT11" s="291"/>
      <c r="AU11" s="289">
        <v>2020</v>
      </c>
      <c r="AV11" s="291"/>
      <c r="AW11" s="289">
        <v>2021</v>
      </c>
      <c r="AX11" s="291"/>
      <c r="AY11" s="319" t="s">
        <v>78</v>
      </c>
      <c r="AZ11" s="196"/>
      <c r="BA11" s="196"/>
      <c r="BB11" s="196"/>
    </row>
    <row r="12" spans="1:54" ht="22.5" customHeight="1">
      <c r="A12" s="1"/>
      <c r="B12" s="26" t="s">
        <v>29</v>
      </c>
      <c r="C12" s="24" t="s">
        <v>30</v>
      </c>
      <c r="D12" s="24" t="s">
        <v>31</v>
      </c>
      <c r="E12" s="24" t="s">
        <v>30</v>
      </c>
      <c r="F12" s="24" t="s">
        <v>31</v>
      </c>
      <c r="G12" s="24" t="s">
        <v>30</v>
      </c>
      <c r="H12" s="24" t="s">
        <v>31</v>
      </c>
      <c r="I12" s="24" t="s">
        <v>30</v>
      </c>
      <c r="J12" s="24" t="s">
        <v>31</v>
      </c>
      <c r="K12" s="24" t="s">
        <v>30</v>
      </c>
      <c r="L12" s="24" t="s">
        <v>31</v>
      </c>
      <c r="M12" s="24" t="s">
        <v>30</v>
      </c>
      <c r="N12" s="24" t="s">
        <v>31</v>
      </c>
      <c r="O12" s="24" t="s">
        <v>30</v>
      </c>
      <c r="P12" s="24" t="s">
        <v>31</v>
      </c>
      <c r="Q12" s="24" t="s">
        <v>30</v>
      </c>
      <c r="R12" s="243" t="s">
        <v>31</v>
      </c>
      <c r="S12" s="24" t="s">
        <v>30</v>
      </c>
      <c r="T12" s="243" t="s">
        <v>31</v>
      </c>
      <c r="U12" s="243"/>
      <c r="V12" s="243"/>
      <c r="W12" s="243" t="s">
        <v>30</v>
      </c>
      <c r="X12" s="243" t="s">
        <v>31</v>
      </c>
      <c r="Y12" s="243" t="s">
        <v>30</v>
      </c>
      <c r="Z12" s="24" t="s">
        <v>31</v>
      </c>
      <c r="AA12" s="175"/>
      <c r="AB12" s="175"/>
      <c r="AC12" s="175"/>
      <c r="AD12" s="175"/>
      <c r="AE12" s="175"/>
      <c r="AF12" s="175"/>
      <c r="AG12" s="175"/>
      <c r="AH12" s="175"/>
      <c r="AI12" s="175"/>
      <c r="AJ12" s="175"/>
      <c r="AK12" s="175"/>
      <c r="AL12" s="175"/>
      <c r="AM12" s="24"/>
      <c r="AN12" s="24"/>
      <c r="AO12" s="24"/>
      <c r="AP12" s="24"/>
      <c r="AQ12" s="24"/>
      <c r="AR12" s="24"/>
      <c r="AS12" s="175"/>
      <c r="AT12" s="175"/>
      <c r="AU12" s="175"/>
      <c r="AV12" s="175"/>
      <c r="AW12" s="175"/>
      <c r="AX12" s="175"/>
      <c r="AY12" s="320"/>
      <c r="AZ12" s="196"/>
      <c r="BA12" s="196"/>
      <c r="BB12" s="196"/>
    </row>
    <row r="13" spans="1:54">
      <c r="A13" s="6"/>
      <c r="B13" s="27"/>
      <c r="C13" s="28"/>
      <c r="D13" s="29"/>
      <c r="E13" s="28"/>
      <c r="F13" s="29"/>
      <c r="G13" s="28"/>
      <c r="H13" s="29"/>
      <c r="I13" s="28"/>
      <c r="J13" s="29"/>
      <c r="K13" s="28"/>
      <c r="L13" s="29"/>
      <c r="M13" s="28"/>
      <c r="N13" s="29"/>
      <c r="O13" s="120"/>
      <c r="P13" s="120"/>
      <c r="Q13" s="28"/>
      <c r="R13" s="29"/>
      <c r="S13" s="29"/>
      <c r="T13" s="29"/>
      <c r="U13" s="29"/>
      <c r="V13" s="29"/>
      <c r="W13" s="29"/>
      <c r="X13" s="29"/>
      <c r="Y13" s="29"/>
      <c r="Z13" s="96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93"/>
      <c r="AZ13" s="196"/>
      <c r="BA13" s="196"/>
      <c r="BB13" s="196"/>
    </row>
    <row r="14" spans="1:54">
      <c r="A14" s="6"/>
      <c r="B14" s="30" t="s">
        <v>32</v>
      </c>
      <c r="C14" s="31">
        <f>352937.53/1000</f>
        <v>352.93753000000004</v>
      </c>
      <c r="D14" s="32">
        <v>31</v>
      </c>
      <c r="E14" s="31">
        <f>515977/1000</f>
        <v>515.97699999999998</v>
      </c>
      <c r="F14" s="32">
        <v>31</v>
      </c>
      <c r="G14" s="31">
        <f>390888/1000</f>
        <v>390.88799999999998</v>
      </c>
      <c r="H14" s="32">
        <v>21</v>
      </c>
      <c r="I14" s="31">
        <f>322650/1000</f>
        <v>322.64999999999998</v>
      </c>
      <c r="J14" s="32">
        <v>3</v>
      </c>
      <c r="K14" s="31">
        <v>283.89999999999998</v>
      </c>
      <c r="L14" s="32">
        <v>4</v>
      </c>
      <c r="M14" s="31">
        <v>558.51</v>
      </c>
      <c r="N14" s="32">
        <v>8</v>
      </c>
      <c r="O14" s="36">
        <v>1803.47</v>
      </c>
      <c r="P14" s="37">
        <v>28</v>
      </c>
      <c r="Q14" s="31">
        <v>1115.21</v>
      </c>
      <c r="R14" s="32">
        <v>21</v>
      </c>
      <c r="S14" s="121">
        <v>892.19</v>
      </c>
      <c r="T14" s="170">
        <v>18</v>
      </c>
      <c r="U14" s="121">
        <v>805.61</v>
      </c>
      <c r="V14" s="170">
        <v>14</v>
      </c>
      <c r="W14" s="121">
        <v>681.06</v>
      </c>
      <c r="X14" s="170">
        <v>15</v>
      </c>
      <c r="Y14" s="84">
        <v>561.84</v>
      </c>
      <c r="Z14" s="177">
        <v>9</v>
      </c>
      <c r="AA14" s="121">
        <v>815.87</v>
      </c>
      <c r="AB14" s="170">
        <v>13</v>
      </c>
      <c r="AC14" s="121">
        <v>365.85</v>
      </c>
      <c r="AD14" s="170">
        <v>8</v>
      </c>
      <c r="AE14" s="121">
        <v>582.79999999999995</v>
      </c>
      <c r="AF14" s="170">
        <v>12</v>
      </c>
      <c r="AG14" s="121">
        <v>594.35</v>
      </c>
      <c r="AH14" s="170">
        <v>13</v>
      </c>
      <c r="AI14" s="192">
        <v>438.89</v>
      </c>
      <c r="AJ14" s="170">
        <v>9</v>
      </c>
      <c r="AK14" s="121">
        <v>447.34</v>
      </c>
      <c r="AL14" s="170">
        <v>8</v>
      </c>
      <c r="AM14" s="121">
        <v>384.96</v>
      </c>
      <c r="AN14" s="170">
        <v>9</v>
      </c>
      <c r="AO14" s="121">
        <v>375.6</v>
      </c>
      <c r="AP14" s="170">
        <v>10</v>
      </c>
      <c r="AQ14" s="121">
        <v>840.69</v>
      </c>
      <c r="AR14" s="170">
        <v>27</v>
      </c>
      <c r="AS14" s="121">
        <v>703.05</v>
      </c>
      <c r="AT14" s="170">
        <v>19</v>
      </c>
      <c r="AU14" s="121">
        <f>'DIC 2021'!E68</f>
        <v>417.84</v>
      </c>
      <c r="AV14" s="170">
        <v>15</v>
      </c>
      <c r="AW14" s="121">
        <f>'ENE 2021'!G68</f>
        <v>1008.93</v>
      </c>
      <c r="AX14" s="170">
        <f>'ENE 2021'!H68</f>
        <v>32</v>
      </c>
      <c r="AY14" s="117">
        <f t="shared" ref="AY14:AY19" si="0">+(AW14-AU14)/AU14</f>
        <v>1.4146323951751865</v>
      </c>
      <c r="AZ14" s="196"/>
      <c r="BA14" s="196"/>
      <c r="BB14" s="196"/>
    </row>
    <row r="15" spans="1:54">
      <c r="A15" s="6"/>
      <c r="B15" s="30" t="s">
        <v>38</v>
      </c>
      <c r="C15" s="31">
        <f>274907/1000</f>
        <v>274.90699999999998</v>
      </c>
      <c r="D15" s="32">
        <v>23</v>
      </c>
      <c r="E15" s="31">
        <f>532096/1000</f>
        <v>532.096</v>
      </c>
      <c r="F15" s="32">
        <v>22</v>
      </c>
      <c r="G15" s="31">
        <f>576426/1000</f>
        <v>576.42600000000004</v>
      </c>
      <c r="H15" s="32">
        <v>25</v>
      </c>
      <c r="I15" s="31">
        <f>402657/1000</f>
        <v>402.65699999999998</v>
      </c>
      <c r="J15" s="32">
        <v>4</v>
      </c>
      <c r="K15" s="31">
        <v>272.3</v>
      </c>
      <c r="L15" s="32">
        <v>4</v>
      </c>
      <c r="M15" s="31">
        <v>753.89</v>
      </c>
      <c r="N15" s="32">
        <v>11</v>
      </c>
      <c r="O15" s="36">
        <v>1387.69</v>
      </c>
      <c r="P15" s="37">
        <v>24</v>
      </c>
      <c r="Q15" s="31">
        <v>1416.16</v>
      </c>
      <c r="R15" s="32">
        <v>25</v>
      </c>
      <c r="S15" s="121">
        <v>1407.57</v>
      </c>
      <c r="T15" s="170">
        <v>25</v>
      </c>
      <c r="U15" s="121">
        <v>811.31</v>
      </c>
      <c r="V15" s="170">
        <v>13</v>
      </c>
      <c r="W15" s="121">
        <v>1530.37</v>
      </c>
      <c r="X15" s="170">
        <v>30</v>
      </c>
      <c r="Y15" s="84">
        <v>1002.49</v>
      </c>
      <c r="Z15" s="178">
        <v>16</v>
      </c>
      <c r="AA15" s="121">
        <v>803.67</v>
      </c>
      <c r="AB15" s="170">
        <v>15</v>
      </c>
      <c r="AC15" s="121">
        <v>1070.47</v>
      </c>
      <c r="AD15" s="170">
        <v>19</v>
      </c>
      <c r="AE15" s="121">
        <v>381.85</v>
      </c>
      <c r="AF15" s="170">
        <v>6</v>
      </c>
      <c r="AG15" s="121">
        <v>731.78</v>
      </c>
      <c r="AH15" s="170">
        <v>14</v>
      </c>
      <c r="AI15" s="192">
        <v>551.51</v>
      </c>
      <c r="AJ15" s="170">
        <v>11</v>
      </c>
      <c r="AK15" s="121">
        <v>536.54999999999995</v>
      </c>
      <c r="AL15" s="170">
        <v>8</v>
      </c>
      <c r="AM15" s="121">
        <v>175.95</v>
      </c>
      <c r="AN15" s="170">
        <v>5</v>
      </c>
      <c r="AO15" s="121">
        <v>438.63</v>
      </c>
      <c r="AP15" s="170">
        <v>16</v>
      </c>
      <c r="AQ15" s="121">
        <v>754.2</v>
      </c>
      <c r="AR15" s="170">
        <v>23</v>
      </c>
      <c r="AS15" s="121">
        <v>835.29</v>
      </c>
      <c r="AT15" s="170">
        <v>22</v>
      </c>
      <c r="AU15" s="121">
        <f>'DIC 2021'!E69</f>
        <v>591.57000000000005</v>
      </c>
      <c r="AV15" s="170">
        <v>22</v>
      </c>
      <c r="AW15" s="121">
        <f>'FEB 2021'!G73</f>
        <v>719.82</v>
      </c>
      <c r="AX15" s="170">
        <f>'FEB 2021'!H73</f>
        <v>25</v>
      </c>
      <c r="AY15" s="117">
        <f t="shared" si="0"/>
        <v>0.21679598356914648</v>
      </c>
      <c r="AZ15" s="196"/>
      <c r="BA15" s="196"/>
      <c r="BB15" s="196"/>
    </row>
    <row r="16" spans="1:54">
      <c r="A16" s="6"/>
      <c r="B16" s="30" t="s">
        <v>40</v>
      </c>
      <c r="C16" s="31">
        <f>222008/1000</f>
        <v>222.00800000000001</v>
      </c>
      <c r="D16" s="32">
        <v>18</v>
      </c>
      <c r="E16" s="31">
        <f>558775/1000</f>
        <v>558.77499999999998</v>
      </c>
      <c r="F16" s="32">
        <v>19</v>
      </c>
      <c r="G16" s="31">
        <f>240645/1000</f>
        <v>240.64500000000001</v>
      </c>
      <c r="H16" s="32">
        <v>17</v>
      </c>
      <c r="I16" s="31">
        <f>546693/1000</f>
        <v>546.69299999999998</v>
      </c>
      <c r="J16" s="32">
        <v>9</v>
      </c>
      <c r="K16" s="31">
        <v>323.31</v>
      </c>
      <c r="L16" s="32">
        <v>6</v>
      </c>
      <c r="M16" s="31">
        <v>801.94</v>
      </c>
      <c r="N16" s="32">
        <v>14</v>
      </c>
      <c r="O16" s="36">
        <v>1681.26</v>
      </c>
      <c r="P16" s="37">
        <v>28</v>
      </c>
      <c r="Q16" s="31">
        <v>1195.19</v>
      </c>
      <c r="R16" s="32">
        <v>25</v>
      </c>
      <c r="S16" s="121">
        <v>1036.2</v>
      </c>
      <c r="T16" s="170">
        <v>17</v>
      </c>
      <c r="U16" s="121">
        <v>1349.31</v>
      </c>
      <c r="V16" s="170">
        <v>22</v>
      </c>
      <c r="W16" s="121">
        <v>776.01</v>
      </c>
      <c r="X16" s="170">
        <v>13</v>
      </c>
      <c r="Y16" s="31">
        <v>1264.43</v>
      </c>
      <c r="Z16" s="178">
        <v>20</v>
      </c>
      <c r="AA16" s="121">
        <v>1155.1400000000001</v>
      </c>
      <c r="AB16" s="170">
        <v>20</v>
      </c>
      <c r="AC16" s="121">
        <v>1086.32</v>
      </c>
      <c r="AD16" s="170">
        <v>19</v>
      </c>
      <c r="AE16" s="121">
        <v>978.56</v>
      </c>
      <c r="AF16" s="170">
        <v>15</v>
      </c>
      <c r="AG16" s="121">
        <v>657.49</v>
      </c>
      <c r="AH16" s="170">
        <v>14</v>
      </c>
      <c r="AI16" s="192">
        <v>885.87</v>
      </c>
      <c r="AJ16" s="170">
        <v>17</v>
      </c>
      <c r="AK16" s="121">
        <v>576.9</v>
      </c>
      <c r="AL16" s="170">
        <v>10</v>
      </c>
      <c r="AM16" s="121">
        <v>188.67</v>
      </c>
      <c r="AN16" s="170">
        <v>5</v>
      </c>
      <c r="AO16" s="121">
        <v>131.1</v>
      </c>
      <c r="AP16" s="170">
        <v>6</v>
      </c>
      <c r="AQ16" s="121">
        <v>748.95</v>
      </c>
      <c r="AR16" s="170">
        <v>22</v>
      </c>
      <c r="AS16" s="121">
        <v>1119.3900000000001</v>
      </c>
      <c r="AT16" s="170">
        <v>29</v>
      </c>
      <c r="AU16" s="121">
        <f>'DIC 2021'!E70</f>
        <v>408.24</v>
      </c>
      <c r="AV16" s="170">
        <v>13</v>
      </c>
      <c r="AW16" s="121">
        <f>'MAR 2021'!G66</f>
        <v>815.73</v>
      </c>
      <c r="AX16" s="170">
        <f>'MAR 2021'!H66</f>
        <v>26</v>
      </c>
      <c r="AY16" s="117">
        <f t="shared" si="0"/>
        <v>0.99816284538506761</v>
      </c>
      <c r="AZ16" s="196"/>
      <c r="BA16" s="196"/>
      <c r="BB16" s="196"/>
    </row>
    <row r="17" spans="1:54">
      <c r="A17" s="6"/>
      <c r="B17" s="30" t="s">
        <v>43</v>
      </c>
      <c r="C17" s="31">
        <f>637682.85/1000</f>
        <v>637.68285000000003</v>
      </c>
      <c r="D17" s="32">
        <v>20</v>
      </c>
      <c r="E17" s="31">
        <f>425923/1000</f>
        <v>425.923</v>
      </c>
      <c r="F17" s="32">
        <v>21</v>
      </c>
      <c r="G17" s="31">
        <f>128440/1000</f>
        <v>128.44</v>
      </c>
      <c r="H17" s="32">
        <v>8</v>
      </c>
      <c r="I17" s="31">
        <f>436620/1000</f>
        <v>436.62</v>
      </c>
      <c r="J17" s="32">
        <v>5</v>
      </c>
      <c r="K17" s="31">
        <v>499.13</v>
      </c>
      <c r="L17" s="32">
        <v>8</v>
      </c>
      <c r="M17" s="31">
        <v>816.02</v>
      </c>
      <c r="N17" s="32">
        <v>16</v>
      </c>
      <c r="O17" s="36">
        <v>1239.72</v>
      </c>
      <c r="P17" s="37">
        <v>24</v>
      </c>
      <c r="Q17" s="31">
        <v>1908.04</v>
      </c>
      <c r="R17" s="32">
        <v>38</v>
      </c>
      <c r="S17" s="121">
        <v>754.32</v>
      </c>
      <c r="T17" s="170">
        <v>14</v>
      </c>
      <c r="U17" s="121">
        <v>1141.5899999999999</v>
      </c>
      <c r="V17" s="170">
        <v>18</v>
      </c>
      <c r="W17" s="121">
        <v>696.96</v>
      </c>
      <c r="X17" s="170">
        <v>14</v>
      </c>
      <c r="Y17" s="31">
        <v>1049.3</v>
      </c>
      <c r="Z17" s="178">
        <v>19</v>
      </c>
      <c r="AA17" s="121">
        <v>906.86</v>
      </c>
      <c r="AB17" s="170">
        <v>17</v>
      </c>
      <c r="AC17" s="121">
        <v>1150.77</v>
      </c>
      <c r="AD17" s="170">
        <v>16</v>
      </c>
      <c r="AE17" s="121">
        <v>923.73</v>
      </c>
      <c r="AF17" s="170">
        <v>14</v>
      </c>
      <c r="AG17" s="121">
        <v>763.78</v>
      </c>
      <c r="AH17" s="170">
        <v>24</v>
      </c>
      <c r="AI17" s="192">
        <v>800.16</v>
      </c>
      <c r="AJ17" s="170">
        <v>13</v>
      </c>
      <c r="AK17" s="121">
        <v>344.6</v>
      </c>
      <c r="AL17" s="170">
        <v>6</v>
      </c>
      <c r="AM17" s="121">
        <v>63</v>
      </c>
      <c r="AN17" s="170">
        <v>2</v>
      </c>
      <c r="AO17" s="121">
        <v>280.98</v>
      </c>
      <c r="AP17" s="170">
        <v>10</v>
      </c>
      <c r="AQ17" s="121">
        <v>468.21</v>
      </c>
      <c r="AR17" s="170">
        <v>13</v>
      </c>
      <c r="AS17" s="121">
        <v>501.99</v>
      </c>
      <c r="AT17" s="170">
        <v>13</v>
      </c>
      <c r="AU17" s="121">
        <f>'DIC 2021'!E71</f>
        <v>188.13</v>
      </c>
      <c r="AV17" s="170">
        <v>6</v>
      </c>
      <c r="AW17" s="121">
        <f>'ABR 2021'!G66</f>
        <v>323.73</v>
      </c>
      <c r="AX17" s="170">
        <f>'ABR 2021'!H66</f>
        <v>11</v>
      </c>
      <c r="AY17" s="117">
        <f t="shared" si="0"/>
        <v>0.7207781852974009</v>
      </c>
      <c r="AZ17" s="196"/>
      <c r="BA17" s="196"/>
      <c r="BB17" s="196"/>
    </row>
    <row r="18" spans="1:54">
      <c r="A18" s="6"/>
      <c r="B18" s="30" t="s">
        <v>45</v>
      </c>
      <c r="C18" s="31">
        <f>162044/1000</f>
        <v>162.04400000000001</v>
      </c>
      <c r="D18" s="32">
        <v>11</v>
      </c>
      <c r="E18" s="31">
        <f>499084/1000</f>
        <v>499.084</v>
      </c>
      <c r="F18" s="32">
        <v>19</v>
      </c>
      <c r="G18" s="31">
        <f>142898/1000</f>
        <v>142.898</v>
      </c>
      <c r="H18" s="32">
        <v>12</v>
      </c>
      <c r="I18" s="31">
        <f>463140/1000</f>
        <v>463.14</v>
      </c>
      <c r="J18" s="32">
        <v>5</v>
      </c>
      <c r="K18" s="31">
        <v>439.51</v>
      </c>
      <c r="L18" s="32">
        <v>8</v>
      </c>
      <c r="M18" s="31">
        <v>946.61</v>
      </c>
      <c r="N18" s="32">
        <v>18</v>
      </c>
      <c r="O18" s="36">
        <v>1369.43</v>
      </c>
      <c r="P18" s="37">
        <v>24</v>
      </c>
      <c r="Q18" s="31">
        <v>1476.65</v>
      </c>
      <c r="R18" s="32">
        <v>31</v>
      </c>
      <c r="S18" s="121">
        <v>685.97</v>
      </c>
      <c r="T18" s="170">
        <v>13</v>
      </c>
      <c r="U18" s="121">
        <v>1105.8699999999999</v>
      </c>
      <c r="V18" s="170">
        <v>16</v>
      </c>
      <c r="W18" s="121">
        <v>475.63</v>
      </c>
      <c r="X18" s="170">
        <v>8</v>
      </c>
      <c r="Y18" s="36">
        <v>630.75</v>
      </c>
      <c r="Z18" s="178">
        <v>11</v>
      </c>
      <c r="AA18" s="121">
        <v>901.78</v>
      </c>
      <c r="AB18" s="170">
        <v>14</v>
      </c>
      <c r="AC18" s="121">
        <v>668.75</v>
      </c>
      <c r="AD18" s="170">
        <v>11</v>
      </c>
      <c r="AE18" s="121">
        <v>716.04</v>
      </c>
      <c r="AF18" s="170">
        <v>12</v>
      </c>
      <c r="AG18" s="121">
        <v>613</v>
      </c>
      <c r="AH18" s="170">
        <v>20</v>
      </c>
      <c r="AI18" s="192">
        <v>1020.73</v>
      </c>
      <c r="AJ18" s="170">
        <v>17</v>
      </c>
      <c r="AK18" s="121">
        <v>99.4</v>
      </c>
      <c r="AL18" s="170">
        <v>3</v>
      </c>
      <c r="AM18" s="121">
        <v>167.07</v>
      </c>
      <c r="AN18" s="170">
        <v>5</v>
      </c>
      <c r="AO18" s="121">
        <v>217.35</v>
      </c>
      <c r="AP18" s="170">
        <v>7</v>
      </c>
      <c r="AQ18" s="121">
        <v>33.99</v>
      </c>
      <c r="AR18" s="170">
        <v>1</v>
      </c>
      <c r="AS18" s="121">
        <v>410.58</v>
      </c>
      <c r="AT18" s="170">
        <v>11</v>
      </c>
      <c r="AU18" s="121">
        <f>'DIC 2021'!E72</f>
        <v>279.93</v>
      </c>
      <c r="AV18" s="170">
        <v>8</v>
      </c>
      <c r="AW18" s="121">
        <f>'MAY 2021'!G68</f>
        <v>142.35</v>
      </c>
      <c r="AX18" s="170">
        <f>'MAY 2021'!H68</f>
        <v>6</v>
      </c>
      <c r="AY18" s="117">
        <f t="shared" si="0"/>
        <v>-0.49148001286035797</v>
      </c>
      <c r="AZ18" s="196"/>
      <c r="BA18" s="196"/>
      <c r="BB18" s="196"/>
    </row>
    <row r="19" spans="1:54">
      <c r="A19" s="6"/>
      <c r="B19" s="30" t="s">
        <v>47</v>
      </c>
      <c r="C19" s="31">
        <f>549246/1000</f>
        <v>549.24599999999998</v>
      </c>
      <c r="D19" s="32">
        <v>16</v>
      </c>
      <c r="E19" s="31">
        <f>650381/1000</f>
        <v>650.38099999999997</v>
      </c>
      <c r="F19" s="32">
        <v>24</v>
      </c>
      <c r="G19" s="31">
        <f>102949/1000</f>
        <v>102.949</v>
      </c>
      <c r="H19" s="32">
        <v>10</v>
      </c>
      <c r="I19" s="31">
        <f>1527070/1000</f>
        <v>1527.07</v>
      </c>
      <c r="J19" s="32">
        <v>11</v>
      </c>
      <c r="K19" s="31">
        <v>245.03</v>
      </c>
      <c r="L19" s="32">
        <v>3</v>
      </c>
      <c r="M19" s="31">
        <v>867.68</v>
      </c>
      <c r="N19" s="32">
        <v>18</v>
      </c>
      <c r="O19" s="36">
        <v>1047.78</v>
      </c>
      <c r="P19" s="37">
        <v>19</v>
      </c>
      <c r="Q19" s="31">
        <v>1109.3599999999999</v>
      </c>
      <c r="R19" s="32">
        <v>29</v>
      </c>
      <c r="S19" s="121">
        <v>985.92</v>
      </c>
      <c r="T19" s="170">
        <v>17</v>
      </c>
      <c r="U19" s="121">
        <v>895.82</v>
      </c>
      <c r="V19" s="170">
        <v>16</v>
      </c>
      <c r="W19" s="121">
        <v>842.5</v>
      </c>
      <c r="X19" s="170">
        <v>12</v>
      </c>
      <c r="Y19" s="31">
        <v>347.04</v>
      </c>
      <c r="Z19" s="178">
        <v>9</v>
      </c>
      <c r="AA19" s="121">
        <v>585.04999999999995</v>
      </c>
      <c r="AB19" s="170">
        <v>9</v>
      </c>
      <c r="AC19" s="121">
        <v>881.08</v>
      </c>
      <c r="AD19" s="170">
        <v>13</v>
      </c>
      <c r="AE19" s="121">
        <v>784.71</v>
      </c>
      <c r="AF19" s="170">
        <v>13</v>
      </c>
      <c r="AG19" s="121">
        <v>606.23</v>
      </c>
      <c r="AH19" s="170">
        <v>10</v>
      </c>
      <c r="AI19" s="192">
        <v>157.5</v>
      </c>
      <c r="AJ19" s="170">
        <v>3</v>
      </c>
      <c r="AK19" s="121">
        <v>163.80000000000001</v>
      </c>
      <c r="AL19" s="170">
        <v>2</v>
      </c>
      <c r="AM19" s="121">
        <v>244.23</v>
      </c>
      <c r="AN19" s="170">
        <v>6</v>
      </c>
      <c r="AO19" s="121">
        <v>0</v>
      </c>
      <c r="AP19" s="170">
        <v>0</v>
      </c>
      <c r="AQ19" s="121">
        <v>0</v>
      </c>
      <c r="AR19" s="170">
        <v>0</v>
      </c>
      <c r="AS19" s="121">
        <v>183.39</v>
      </c>
      <c r="AT19" s="170">
        <v>5</v>
      </c>
      <c r="AU19" s="121">
        <f>'DIC 2021'!E73</f>
        <v>202.08</v>
      </c>
      <c r="AV19" s="170">
        <v>7</v>
      </c>
      <c r="AW19" s="121">
        <f>'JUN 2021'!G63</f>
        <v>189.81</v>
      </c>
      <c r="AX19" s="170">
        <f>'JUN 2021'!H63</f>
        <v>6</v>
      </c>
      <c r="AY19" s="117">
        <f t="shared" si="0"/>
        <v>-6.0718527315914539E-2</v>
      </c>
      <c r="AZ19" s="196"/>
      <c r="BA19" s="196"/>
      <c r="BB19" s="196"/>
    </row>
    <row r="20" spans="1:54">
      <c r="A20" s="6"/>
      <c r="B20" s="39" t="s">
        <v>79</v>
      </c>
      <c r="C20" s="19">
        <f>SUM(C14:C19)</f>
        <v>2198.8253800000002</v>
      </c>
      <c r="D20" s="20">
        <f>SUM(D14:D19)</f>
        <v>119</v>
      </c>
      <c r="E20" s="19">
        <f t="shared" ref="E20:L20" si="1">SUM(E14:E19)</f>
        <v>3182.2359999999999</v>
      </c>
      <c r="F20" s="20">
        <f t="shared" si="1"/>
        <v>136</v>
      </c>
      <c r="G20" s="19">
        <f t="shared" si="1"/>
        <v>1582.2460000000001</v>
      </c>
      <c r="H20" s="20">
        <f t="shared" si="1"/>
        <v>93</v>
      </c>
      <c r="I20" s="19">
        <f t="shared" si="1"/>
        <v>3698.83</v>
      </c>
      <c r="J20" s="23">
        <f t="shared" si="1"/>
        <v>37</v>
      </c>
      <c r="K20" s="19">
        <f t="shared" si="1"/>
        <v>2063.1799999999998</v>
      </c>
      <c r="L20" s="23">
        <f t="shared" si="1"/>
        <v>33</v>
      </c>
      <c r="M20" s="19">
        <f>SUM(M14:M19)</f>
        <v>4744.6500000000005</v>
      </c>
      <c r="N20" s="20">
        <f>SUM(N14:N19)</f>
        <v>85</v>
      </c>
      <c r="O20" s="22">
        <f>SUM(O14:O19)</f>
        <v>8529.35</v>
      </c>
      <c r="P20" s="23">
        <f>SUM(P14:P19)</f>
        <v>147</v>
      </c>
      <c r="Q20" s="19">
        <v>8220.61</v>
      </c>
      <c r="R20" s="20">
        <v>169</v>
      </c>
      <c r="S20" s="122">
        <f t="shared" ref="S20:Z20" si="2">SUM(S14:S19)</f>
        <v>5762.17</v>
      </c>
      <c r="T20" s="171">
        <f t="shared" si="2"/>
        <v>104</v>
      </c>
      <c r="U20" s="122">
        <f t="shared" si="2"/>
        <v>6109.5099999999993</v>
      </c>
      <c r="V20" s="171">
        <f t="shared" si="2"/>
        <v>99</v>
      </c>
      <c r="W20" s="122">
        <f t="shared" si="2"/>
        <v>5002.53</v>
      </c>
      <c r="X20" s="171">
        <f t="shared" si="2"/>
        <v>92</v>
      </c>
      <c r="Y20" s="22">
        <f t="shared" si="2"/>
        <v>4855.8500000000004</v>
      </c>
      <c r="Z20" s="179">
        <f t="shared" si="2"/>
        <v>84</v>
      </c>
      <c r="AA20" s="122">
        <f>SUM(AA14:AA19)</f>
        <v>5168.3700000000008</v>
      </c>
      <c r="AB20" s="171">
        <f>SUM(AB14:AB19)</f>
        <v>88</v>
      </c>
      <c r="AC20" s="185">
        <v>5223.24</v>
      </c>
      <c r="AD20" s="171">
        <v>86</v>
      </c>
      <c r="AE20" s="185">
        <v>4367.6899999999996</v>
      </c>
      <c r="AF20" s="171">
        <f>SUM(AF14:AF19)</f>
        <v>72</v>
      </c>
      <c r="AG20" s="185">
        <f>SUM(AG14:AG19)</f>
        <v>3966.63</v>
      </c>
      <c r="AH20" s="190">
        <f>SUM(AH14:AH19)</f>
        <v>95</v>
      </c>
      <c r="AI20" s="185">
        <f>SUM(AI14:AI19)</f>
        <v>3854.66</v>
      </c>
      <c r="AJ20" s="190">
        <v>70</v>
      </c>
      <c r="AK20" s="185">
        <f t="shared" ref="AK20:AL20" si="3">SUM(AK14:AK19)</f>
        <v>2168.59</v>
      </c>
      <c r="AL20" s="190">
        <f t="shared" si="3"/>
        <v>37</v>
      </c>
      <c r="AM20" s="185"/>
      <c r="AN20" s="190"/>
      <c r="AO20" s="185"/>
      <c r="AP20" s="190"/>
      <c r="AQ20" s="185"/>
      <c r="AR20" s="190"/>
      <c r="AS20" s="185"/>
      <c r="AT20" s="190"/>
      <c r="AU20" s="185"/>
      <c r="AV20" s="190"/>
      <c r="AW20" s="185"/>
      <c r="AX20" s="190"/>
      <c r="AY20" s="117" t="e">
        <f t="shared" ref="AY20:AY26" si="4">+(AW20-AU20)/AU20</f>
        <v>#DIV/0!</v>
      </c>
      <c r="AZ20" s="196"/>
      <c r="BA20" s="196"/>
      <c r="BB20" s="196"/>
    </row>
    <row r="21" spans="1:54">
      <c r="A21" s="6"/>
      <c r="B21" s="30" t="s">
        <v>55</v>
      </c>
      <c r="C21" s="31">
        <f>263044.84/1000</f>
        <v>263.04484000000002</v>
      </c>
      <c r="D21" s="32">
        <v>19</v>
      </c>
      <c r="E21" s="31">
        <f>295129/1000</f>
        <v>295.12900000000002</v>
      </c>
      <c r="F21" s="32">
        <v>21</v>
      </c>
      <c r="G21" s="31">
        <f>18177/1000</f>
        <v>18.177</v>
      </c>
      <c r="H21" s="32">
        <v>4</v>
      </c>
      <c r="I21" s="31">
        <f>687861/1000</f>
        <v>687.86099999999999</v>
      </c>
      <c r="J21" s="32">
        <v>13</v>
      </c>
      <c r="K21" s="31">
        <v>196</v>
      </c>
      <c r="L21" s="32">
        <v>3</v>
      </c>
      <c r="M21" s="31">
        <v>2687.96</v>
      </c>
      <c r="N21" s="32">
        <v>24</v>
      </c>
      <c r="O21" s="36">
        <v>615.02</v>
      </c>
      <c r="P21" s="37">
        <v>16</v>
      </c>
      <c r="Q21" s="31">
        <v>879.89</v>
      </c>
      <c r="R21" s="32">
        <v>17</v>
      </c>
      <c r="S21" s="121">
        <v>1012.5</v>
      </c>
      <c r="T21" s="170">
        <v>16</v>
      </c>
      <c r="U21" s="121">
        <v>807.1</v>
      </c>
      <c r="V21" s="170">
        <v>13</v>
      </c>
      <c r="W21" s="121">
        <v>897.95</v>
      </c>
      <c r="X21" s="170">
        <v>16</v>
      </c>
      <c r="Y21" s="31">
        <v>264.60000000000002</v>
      </c>
      <c r="Z21" s="178">
        <v>7</v>
      </c>
      <c r="AA21" s="121">
        <v>1100.45</v>
      </c>
      <c r="AB21" s="170">
        <v>19</v>
      </c>
      <c r="AC21" s="121">
        <v>527.62</v>
      </c>
      <c r="AD21" s="170">
        <v>9</v>
      </c>
      <c r="AE21" s="121">
        <v>1065.08</v>
      </c>
      <c r="AF21" s="170">
        <v>15</v>
      </c>
      <c r="AG21" s="121">
        <v>381.44</v>
      </c>
      <c r="AH21" s="170">
        <v>7</v>
      </c>
      <c r="AI21" s="121">
        <v>264.93</v>
      </c>
      <c r="AJ21" s="170">
        <v>4</v>
      </c>
      <c r="AK21" s="121">
        <v>174.12</v>
      </c>
      <c r="AL21" s="170">
        <v>3</v>
      </c>
      <c r="AM21" s="121">
        <v>123.06</v>
      </c>
      <c r="AN21" s="170">
        <v>3</v>
      </c>
      <c r="AO21" s="121">
        <v>93.12</v>
      </c>
      <c r="AP21" s="170">
        <v>2</v>
      </c>
      <c r="AQ21" s="121">
        <v>36.15</v>
      </c>
      <c r="AR21" s="170">
        <v>1</v>
      </c>
      <c r="AS21" s="121">
        <v>149.79</v>
      </c>
      <c r="AT21" s="170">
        <v>4</v>
      </c>
      <c r="AU21" s="121">
        <f>'DIC 2021'!E74</f>
        <v>178.92</v>
      </c>
      <c r="AV21" s="170">
        <v>6</v>
      </c>
      <c r="AW21" s="121">
        <f>+'JUL 2021'!G64</f>
        <v>288.27</v>
      </c>
      <c r="AX21" s="170">
        <f>'JUL 2021'!H64</f>
        <v>7</v>
      </c>
      <c r="AY21" s="117">
        <f t="shared" si="4"/>
        <v>0.61116700201207241</v>
      </c>
      <c r="AZ21" s="196"/>
      <c r="BA21" s="196"/>
      <c r="BB21" s="196"/>
    </row>
    <row r="22" spans="1:54">
      <c r="A22" s="6"/>
      <c r="B22" s="30" t="s">
        <v>59</v>
      </c>
      <c r="C22" s="31">
        <f>873846.52/1000</f>
        <v>873.84652000000006</v>
      </c>
      <c r="D22" s="32">
        <v>33</v>
      </c>
      <c r="E22" s="31">
        <f>64031/1000</f>
        <v>64.031000000000006</v>
      </c>
      <c r="F22" s="32">
        <v>18</v>
      </c>
      <c r="G22" s="31">
        <f>140860/1000</f>
        <v>140.86000000000001</v>
      </c>
      <c r="H22" s="32">
        <v>3</v>
      </c>
      <c r="I22" s="31">
        <f>1332491/1000</f>
        <v>1332.491</v>
      </c>
      <c r="J22" s="32">
        <v>17</v>
      </c>
      <c r="K22" s="31">
        <v>298.36</v>
      </c>
      <c r="L22" s="32">
        <v>5</v>
      </c>
      <c r="M22" s="31">
        <v>2681.61</v>
      </c>
      <c r="N22" s="32">
        <v>31</v>
      </c>
      <c r="O22" s="36">
        <v>1616.9</v>
      </c>
      <c r="P22" s="37">
        <v>30</v>
      </c>
      <c r="Q22" s="31">
        <v>2001.11</v>
      </c>
      <c r="R22" s="32">
        <v>41</v>
      </c>
      <c r="S22" s="121">
        <v>1155.5899999999999</v>
      </c>
      <c r="T22" s="170">
        <v>18</v>
      </c>
      <c r="U22" s="121">
        <v>1383.89</v>
      </c>
      <c r="V22" s="170">
        <v>23</v>
      </c>
      <c r="W22" s="121">
        <v>855.18</v>
      </c>
      <c r="X22" s="170">
        <v>15</v>
      </c>
      <c r="Y22" s="31">
        <v>240.6</v>
      </c>
      <c r="Z22" s="178">
        <v>5</v>
      </c>
      <c r="AA22" s="121">
        <v>1032.3399999999999</v>
      </c>
      <c r="AB22" s="170">
        <v>18</v>
      </c>
      <c r="AC22" s="121">
        <v>777.41</v>
      </c>
      <c r="AD22" s="170">
        <v>13</v>
      </c>
      <c r="AE22" s="121">
        <v>796.05</v>
      </c>
      <c r="AF22" s="170">
        <v>10</v>
      </c>
      <c r="AG22" s="121">
        <v>570.65</v>
      </c>
      <c r="AH22" s="170">
        <v>13</v>
      </c>
      <c r="AI22" s="121">
        <v>308.79000000000002</v>
      </c>
      <c r="AJ22" s="170">
        <v>6</v>
      </c>
      <c r="AK22" s="121">
        <v>201.45</v>
      </c>
      <c r="AL22" s="170">
        <v>4</v>
      </c>
      <c r="AM22" s="121">
        <v>184.59</v>
      </c>
      <c r="AN22" s="170">
        <v>5</v>
      </c>
      <c r="AO22" s="121">
        <v>149.66999999999999</v>
      </c>
      <c r="AP22" s="170">
        <v>4</v>
      </c>
      <c r="AQ22" s="121">
        <v>0</v>
      </c>
      <c r="AR22" s="170">
        <v>0</v>
      </c>
      <c r="AS22" s="121">
        <v>248.64</v>
      </c>
      <c r="AT22" s="170">
        <v>6</v>
      </c>
      <c r="AU22" s="121">
        <f>'DIC 2021'!E75</f>
        <v>155.82</v>
      </c>
      <c r="AV22" s="170">
        <v>6</v>
      </c>
      <c r="AW22" s="121">
        <f>+'AGO 2021'!G59</f>
        <v>642.03</v>
      </c>
      <c r="AX22" s="170">
        <f>'AGO 2021'!H59</f>
        <v>12</v>
      </c>
      <c r="AY22" s="117">
        <f t="shared" si="4"/>
        <v>3.1203311513284557</v>
      </c>
      <c r="AZ22" s="196"/>
      <c r="BA22" s="196"/>
      <c r="BB22" s="196"/>
    </row>
    <row r="23" spans="1:54">
      <c r="A23" s="6"/>
      <c r="B23" s="30" t="s">
        <v>62</v>
      </c>
      <c r="C23" s="31">
        <f>1202886.5/1000</f>
        <v>1202.8865000000001</v>
      </c>
      <c r="D23" s="32">
        <v>57</v>
      </c>
      <c r="E23" s="31">
        <f>42500/1000</f>
        <v>42.5</v>
      </c>
      <c r="F23" s="32">
        <v>14</v>
      </c>
      <c r="G23" s="31">
        <f>67600/1000</f>
        <v>67.599999999999994</v>
      </c>
      <c r="H23" s="32">
        <v>1</v>
      </c>
      <c r="I23" s="31">
        <f>594550/1000</f>
        <v>594.54999999999995</v>
      </c>
      <c r="J23" s="32">
        <v>9</v>
      </c>
      <c r="K23" s="31">
        <v>609.23</v>
      </c>
      <c r="L23" s="32">
        <v>9</v>
      </c>
      <c r="M23" s="31">
        <v>3825.39</v>
      </c>
      <c r="N23" s="32">
        <v>46</v>
      </c>
      <c r="O23" s="36">
        <v>2907.41</v>
      </c>
      <c r="P23" s="37">
        <v>54</v>
      </c>
      <c r="Q23" s="31">
        <v>3075.71</v>
      </c>
      <c r="R23" s="32">
        <v>62</v>
      </c>
      <c r="S23" s="121">
        <v>1328.35</v>
      </c>
      <c r="T23" s="170">
        <v>21</v>
      </c>
      <c r="U23" s="121">
        <v>1646.03</v>
      </c>
      <c r="V23" s="170">
        <v>32</v>
      </c>
      <c r="W23" s="121">
        <v>1116.3</v>
      </c>
      <c r="X23" s="170">
        <v>20</v>
      </c>
      <c r="Y23" s="31">
        <v>219.39</v>
      </c>
      <c r="Z23" s="178">
        <v>5</v>
      </c>
      <c r="AA23" s="121">
        <v>1209.8399999999999</v>
      </c>
      <c r="AB23" s="170">
        <v>19</v>
      </c>
      <c r="AC23" s="121">
        <v>909.19</v>
      </c>
      <c r="AD23" s="170">
        <v>14</v>
      </c>
      <c r="AE23" s="121">
        <v>546.84</v>
      </c>
      <c r="AF23" s="170">
        <v>11</v>
      </c>
      <c r="AG23" s="121">
        <v>686.85</v>
      </c>
      <c r="AH23" s="170">
        <v>17</v>
      </c>
      <c r="AI23" s="121">
        <v>494.46</v>
      </c>
      <c r="AJ23" s="170">
        <v>8</v>
      </c>
      <c r="AK23" s="121">
        <v>101.16</v>
      </c>
      <c r="AL23" s="170">
        <v>2</v>
      </c>
      <c r="AM23" s="121">
        <v>170.22</v>
      </c>
      <c r="AN23" s="170">
        <v>6</v>
      </c>
      <c r="AO23" s="121">
        <v>112.11</v>
      </c>
      <c r="AP23" s="170">
        <v>4</v>
      </c>
      <c r="AQ23" s="121">
        <v>142.32</v>
      </c>
      <c r="AR23" s="170">
        <v>2</v>
      </c>
      <c r="AS23" s="121">
        <v>222.96</v>
      </c>
      <c r="AT23" s="170">
        <v>6</v>
      </c>
      <c r="AU23" s="121">
        <f>'DIC 2021'!E76</f>
        <v>414.9</v>
      </c>
      <c r="AV23" s="170">
        <v>11</v>
      </c>
      <c r="AW23" s="121">
        <f>+'SEP 2021'!G80</f>
        <v>288.39</v>
      </c>
      <c r="AX23" s="170">
        <f>'SEP 2021'!H80</f>
        <v>7</v>
      </c>
      <c r="AY23" s="117">
        <f t="shared" si="4"/>
        <v>-0.30491684743311642</v>
      </c>
      <c r="AZ23" s="196"/>
      <c r="BA23" s="196"/>
      <c r="BB23" s="196"/>
    </row>
    <row r="24" spans="1:54">
      <c r="A24" s="6"/>
      <c r="B24" s="30" t="s">
        <v>64</v>
      </c>
      <c r="C24" s="31">
        <f>773238/1000</f>
        <v>773.23800000000006</v>
      </c>
      <c r="D24" s="32">
        <v>52</v>
      </c>
      <c r="E24" s="31">
        <f>67033/1000</f>
        <v>67.033000000000001</v>
      </c>
      <c r="F24" s="32">
        <v>17</v>
      </c>
      <c r="G24" s="31">
        <f>246995/1000</f>
        <v>246.995</v>
      </c>
      <c r="H24" s="32">
        <v>4</v>
      </c>
      <c r="I24" s="31">
        <f>1053755/1000</f>
        <v>1053.7550000000001</v>
      </c>
      <c r="J24" s="32">
        <v>8</v>
      </c>
      <c r="K24" s="31">
        <v>879.77</v>
      </c>
      <c r="L24" s="32">
        <v>11</v>
      </c>
      <c r="M24" s="31">
        <v>1414.92</v>
      </c>
      <c r="N24" s="32">
        <v>20</v>
      </c>
      <c r="O24" s="36">
        <v>1519.56</v>
      </c>
      <c r="P24" s="37">
        <v>30</v>
      </c>
      <c r="Q24" s="31">
        <v>1284.75</v>
      </c>
      <c r="R24" s="32">
        <v>29</v>
      </c>
      <c r="S24" s="121">
        <v>911.88</v>
      </c>
      <c r="T24" s="170">
        <v>15</v>
      </c>
      <c r="U24" s="121">
        <v>1352.78</v>
      </c>
      <c r="V24" s="170">
        <v>23</v>
      </c>
      <c r="W24" s="121">
        <v>995.93</v>
      </c>
      <c r="X24" s="170">
        <v>16</v>
      </c>
      <c r="Y24" s="159">
        <v>817.89</v>
      </c>
      <c r="Z24" s="178">
        <v>12</v>
      </c>
      <c r="AA24" s="121">
        <v>1430.51</v>
      </c>
      <c r="AB24" s="170">
        <v>21</v>
      </c>
      <c r="AC24" s="121">
        <v>780.57</v>
      </c>
      <c r="AD24" s="170">
        <v>12</v>
      </c>
      <c r="AE24" s="121">
        <v>555.54</v>
      </c>
      <c r="AF24" s="170">
        <v>9</v>
      </c>
      <c r="AG24" s="121">
        <v>688.7</v>
      </c>
      <c r="AH24" s="170">
        <v>15</v>
      </c>
      <c r="AI24" s="121">
        <v>570.32000000000005</v>
      </c>
      <c r="AJ24" s="170">
        <v>10</v>
      </c>
      <c r="AK24" s="121">
        <v>120.39</v>
      </c>
      <c r="AL24" s="170">
        <v>3</v>
      </c>
      <c r="AM24" s="121">
        <v>25.05</v>
      </c>
      <c r="AN24" s="170">
        <v>1</v>
      </c>
      <c r="AO24" s="121">
        <v>234.39</v>
      </c>
      <c r="AP24" s="170">
        <v>8</v>
      </c>
      <c r="AQ24" s="121">
        <v>136.88999999999999</v>
      </c>
      <c r="AR24" s="170">
        <v>6</v>
      </c>
      <c r="AS24" s="121">
        <v>321</v>
      </c>
      <c r="AT24" s="170">
        <v>10</v>
      </c>
      <c r="AU24" s="121">
        <f>'DIC 2021'!E77</f>
        <v>417.42</v>
      </c>
      <c r="AV24" s="170">
        <v>9</v>
      </c>
      <c r="AW24" s="121">
        <f>+'OCT 2021'!G78</f>
        <v>96.24</v>
      </c>
      <c r="AX24" s="170">
        <f>'OCT 2021'!H78</f>
        <v>3</v>
      </c>
      <c r="AY24" s="117">
        <f t="shared" si="4"/>
        <v>-0.76944085094149772</v>
      </c>
      <c r="AZ24" s="196"/>
      <c r="BA24" s="196"/>
      <c r="BB24" s="196"/>
    </row>
    <row r="25" spans="1:54">
      <c r="A25" s="6"/>
      <c r="B25" s="30" t="s">
        <v>68</v>
      </c>
      <c r="C25" s="31">
        <f>403173/1000</f>
        <v>403.173</v>
      </c>
      <c r="D25" s="32">
        <v>42</v>
      </c>
      <c r="E25" s="31">
        <f>117684/1000</f>
        <v>117.684</v>
      </c>
      <c r="F25" s="32">
        <v>17</v>
      </c>
      <c r="G25" s="31">
        <f>182480/1000</f>
        <v>182.48</v>
      </c>
      <c r="H25" s="32">
        <v>4</v>
      </c>
      <c r="I25" s="31">
        <f>467110/1000</f>
        <v>467.11</v>
      </c>
      <c r="J25" s="32">
        <v>7</v>
      </c>
      <c r="K25" s="31">
        <v>914.94</v>
      </c>
      <c r="L25" s="32">
        <v>9</v>
      </c>
      <c r="M25" s="31">
        <v>1192.4100000000001</v>
      </c>
      <c r="N25" s="32">
        <v>18</v>
      </c>
      <c r="O25" s="36">
        <v>1217.1300000000001</v>
      </c>
      <c r="P25" s="37">
        <v>23</v>
      </c>
      <c r="Q25" s="31">
        <v>1341.78</v>
      </c>
      <c r="R25" s="32">
        <v>28</v>
      </c>
      <c r="S25" s="121">
        <v>1030.8599999999999</v>
      </c>
      <c r="T25" s="170">
        <v>18</v>
      </c>
      <c r="U25" s="121">
        <v>1107.6099999999999</v>
      </c>
      <c r="V25" s="170">
        <v>20</v>
      </c>
      <c r="W25" s="121">
        <v>703.16</v>
      </c>
      <c r="X25" s="170">
        <v>12</v>
      </c>
      <c r="Y25" s="31">
        <v>732</v>
      </c>
      <c r="Z25" s="178">
        <v>12</v>
      </c>
      <c r="AA25" s="121">
        <v>675.78</v>
      </c>
      <c r="AB25" s="176">
        <v>11</v>
      </c>
      <c r="AC25" s="121">
        <v>705.76</v>
      </c>
      <c r="AD25" s="176">
        <v>12</v>
      </c>
      <c r="AE25" s="121">
        <v>671.24</v>
      </c>
      <c r="AF25" s="176">
        <v>12</v>
      </c>
      <c r="AG25" s="121">
        <v>643.86</v>
      </c>
      <c r="AH25" s="176">
        <v>11</v>
      </c>
      <c r="AI25" s="121">
        <v>1057.02</v>
      </c>
      <c r="AJ25" s="176">
        <v>25</v>
      </c>
      <c r="AK25" s="121">
        <v>318.51</v>
      </c>
      <c r="AL25" s="176">
        <v>7</v>
      </c>
      <c r="AM25" s="121">
        <v>459.72</v>
      </c>
      <c r="AN25" s="176">
        <v>13</v>
      </c>
      <c r="AO25" s="121">
        <v>707.37</v>
      </c>
      <c r="AP25" s="176">
        <v>19</v>
      </c>
      <c r="AQ25" s="121">
        <v>475.26</v>
      </c>
      <c r="AR25" s="176">
        <v>14</v>
      </c>
      <c r="AS25" s="121">
        <v>612.54</v>
      </c>
      <c r="AT25" s="170">
        <v>17</v>
      </c>
      <c r="AU25" s="121">
        <f>'DIC 2021'!E78</f>
        <v>225.54</v>
      </c>
      <c r="AV25" s="170">
        <v>7</v>
      </c>
      <c r="AW25" s="121">
        <f>+'NOV 2021'!G77</f>
        <v>509.25</v>
      </c>
      <c r="AX25" s="170">
        <f>'NOV 2021'!H77</f>
        <v>12</v>
      </c>
      <c r="AY25" s="117">
        <f t="shared" si="4"/>
        <v>1.2579143389199257</v>
      </c>
      <c r="AZ25" s="196"/>
      <c r="BA25" s="196"/>
      <c r="BB25" s="196"/>
    </row>
    <row r="26" spans="1:54">
      <c r="A26" s="6"/>
      <c r="B26" s="33" t="s">
        <v>77</v>
      </c>
      <c r="C26" s="34">
        <f>262296/1000</f>
        <v>262.29599999999999</v>
      </c>
      <c r="D26" s="35">
        <v>32</v>
      </c>
      <c r="E26" s="34">
        <f>96902/1000</f>
        <v>96.902000000000001</v>
      </c>
      <c r="F26" s="35">
        <v>21</v>
      </c>
      <c r="G26" s="34">
        <f>440540/1000</f>
        <v>440.54</v>
      </c>
      <c r="H26" s="35">
        <v>7</v>
      </c>
      <c r="I26" s="34">
        <f>200640/1000</f>
        <v>200.64</v>
      </c>
      <c r="J26" s="35">
        <v>4</v>
      </c>
      <c r="K26" s="34">
        <f>'DIC 2021'!D51</f>
        <v>0</v>
      </c>
      <c r="L26" s="35">
        <f>'DIC 2021'!F57</f>
        <v>0</v>
      </c>
      <c r="M26" s="34">
        <v>1278.31</v>
      </c>
      <c r="N26" s="35">
        <v>22</v>
      </c>
      <c r="O26" s="89">
        <v>1413.44</v>
      </c>
      <c r="P26" s="90">
        <v>23</v>
      </c>
      <c r="Q26" s="34">
        <v>1289.27</v>
      </c>
      <c r="R26" s="35">
        <v>25</v>
      </c>
      <c r="S26" s="169">
        <v>869.33</v>
      </c>
      <c r="T26" s="172">
        <v>15</v>
      </c>
      <c r="U26" s="169">
        <v>1122.83</v>
      </c>
      <c r="V26" s="172">
        <v>20</v>
      </c>
      <c r="W26" s="169">
        <v>307.83999999999997</v>
      </c>
      <c r="X26" s="172">
        <v>8</v>
      </c>
      <c r="Y26" s="34">
        <v>1112.24</v>
      </c>
      <c r="Z26" s="180">
        <v>19</v>
      </c>
      <c r="AA26" s="182">
        <v>579.66999999999996</v>
      </c>
      <c r="AB26" s="172">
        <v>11</v>
      </c>
      <c r="AC26" s="169">
        <v>697.09</v>
      </c>
      <c r="AD26" s="172">
        <v>13</v>
      </c>
      <c r="AE26" s="169">
        <v>641.41</v>
      </c>
      <c r="AF26" s="172">
        <v>12</v>
      </c>
      <c r="AG26" s="169">
        <v>680.8</v>
      </c>
      <c r="AH26" s="172">
        <v>13</v>
      </c>
      <c r="AI26" s="169">
        <v>414.5</v>
      </c>
      <c r="AJ26" s="172">
        <v>11</v>
      </c>
      <c r="AK26" s="169">
        <v>151.32</v>
      </c>
      <c r="AL26" s="172">
        <v>4</v>
      </c>
      <c r="AM26" s="169">
        <v>497.19</v>
      </c>
      <c r="AN26" s="172">
        <v>13</v>
      </c>
      <c r="AO26" s="169">
        <v>583.47</v>
      </c>
      <c r="AP26" s="172">
        <v>19</v>
      </c>
      <c r="AQ26" s="169">
        <v>398.58</v>
      </c>
      <c r="AR26" s="172">
        <v>16</v>
      </c>
      <c r="AS26" s="169">
        <v>428.13</v>
      </c>
      <c r="AT26" s="180">
        <v>13</v>
      </c>
      <c r="AU26" s="169">
        <f>'DIC 2021'!E79</f>
        <v>905.16</v>
      </c>
      <c r="AV26" s="199" t="s">
        <v>80</v>
      </c>
      <c r="AW26" s="169">
        <f>+'DIC 2021'!G79</f>
        <v>630.75</v>
      </c>
      <c r="AX26" s="261">
        <f>'DIC 2021'!H79</f>
        <v>16</v>
      </c>
      <c r="AY26" s="117">
        <f t="shared" si="4"/>
        <v>-0.30316187193424365</v>
      </c>
      <c r="AZ26" s="196"/>
      <c r="BA26" s="196"/>
      <c r="BB26" s="196"/>
    </row>
    <row r="27" spans="1:54">
      <c r="A27" s="1"/>
      <c r="B27" s="114"/>
      <c r="C27" s="36"/>
      <c r="D27" s="37"/>
      <c r="E27" s="36"/>
      <c r="F27" s="37"/>
      <c r="G27" s="36"/>
      <c r="H27" s="37"/>
      <c r="I27" s="36"/>
      <c r="J27" s="37"/>
      <c r="K27" s="36"/>
      <c r="L27" s="37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57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117"/>
      <c r="AZ27" s="196"/>
      <c r="BA27" s="196"/>
      <c r="BB27" s="196"/>
    </row>
    <row r="28" spans="1:54">
      <c r="A28" s="6"/>
      <c r="B28" s="21" t="s">
        <v>81</v>
      </c>
      <c r="C28" s="22">
        <f>C26+C25+C24+C23+C22+C21+C19+C18+C17+C16+C15+C14</f>
        <v>5977.3102399999998</v>
      </c>
      <c r="D28" s="23">
        <f t="shared" ref="D28:L28" si="5">D26+D25+D24+D23+D22+D21+D19+D18+D17+D16+D15+D14</f>
        <v>354</v>
      </c>
      <c r="E28" s="22">
        <f t="shared" si="5"/>
        <v>3865.5149999999999</v>
      </c>
      <c r="F28" s="23">
        <f t="shared" si="5"/>
        <v>244</v>
      </c>
      <c r="G28" s="22">
        <f t="shared" si="5"/>
        <v>2678.8979999999997</v>
      </c>
      <c r="H28" s="23">
        <f t="shared" si="5"/>
        <v>116</v>
      </c>
      <c r="I28" s="22">
        <f t="shared" si="5"/>
        <v>8035.2370000000001</v>
      </c>
      <c r="J28" s="23">
        <f t="shared" si="5"/>
        <v>95</v>
      </c>
      <c r="K28" s="22">
        <f t="shared" si="5"/>
        <v>4961.4800000000005</v>
      </c>
      <c r="L28" s="23">
        <f t="shared" si="5"/>
        <v>70</v>
      </c>
      <c r="M28" s="22">
        <f t="shared" ref="M28:T28" si="6">M14+M15+M16+M17+M18+M19+M21+M22+M23+M24+M25+M26</f>
        <v>17825.250000000004</v>
      </c>
      <c r="N28" s="23">
        <f t="shared" si="6"/>
        <v>246</v>
      </c>
      <c r="O28" s="22">
        <f t="shared" si="6"/>
        <v>17818.809999999998</v>
      </c>
      <c r="P28" s="23">
        <f t="shared" si="6"/>
        <v>323</v>
      </c>
      <c r="Q28" s="22">
        <f>Q14+Q15+Q16+Q17+Q18+Q19+Q21+Q22+Q23+Q24+Q25+Q26</f>
        <v>18093.12</v>
      </c>
      <c r="R28" s="23">
        <f t="shared" si="6"/>
        <v>371</v>
      </c>
      <c r="S28" s="22">
        <f t="shared" si="6"/>
        <v>12070.68</v>
      </c>
      <c r="T28" s="23">
        <f t="shared" si="6"/>
        <v>207</v>
      </c>
      <c r="U28" s="22">
        <f t="shared" ref="U28:Z28" si="7">U14+U15+U16+U17+U18+U19+U21+U22+U23+U24+U25+U26</f>
        <v>13529.750000000002</v>
      </c>
      <c r="V28" s="23">
        <f t="shared" si="7"/>
        <v>230</v>
      </c>
      <c r="W28" s="22">
        <f t="shared" si="7"/>
        <v>9878.89</v>
      </c>
      <c r="X28" s="181">
        <f t="shared" si="7"/>
        <v>179</v>
      </c>
      <c r="Y28" s="22">
        <f t="shared" si="7"/>
        <v>8242.5700000000015</v>
      </c>
      <c r="Z28" s="23">
        <f t="shared" si="7"/>
        <v>144</v>
      </c>
      <c r="AA28" s="22">
        <f>AA14+AA15+AA16+AA17+AA18+AA19+AA21+AA22+AA23+AA24+AA25+AA26</f>
        <v>11196.960000000001</v>
      </c>
      <c r="AB28" s="23">
        <f>AB14+AB15+AB16+AB17+AB18+AB19+AB21+AB22+AB23+AB24+AB25+AB26</f>
        <v>187</v>
      </c>
      <c r="AC28" s="22">
        <v>9620.8799999999992</v>
      </c>
      <c r="AD28" s="181">
        <v>159</v>
      </c>
      <c r="AE28" s="22">
        <f t="shared" ref="AE28:AL28" si="8">AE14+AE15+AE16+AE17+AE18+AE19+AE21+AE22+AE23+AE24+AE25+AE26</f>
        <v>8643.85</v>
      </c>
      <c r="AF28" s="181">
        <f t="shared" si="8"/>
        <v>141</v>
      </c>
      <c r="AG28" s="22">
        <f t="shared" si="8"/>
        <v>7618.9299999999994</v>
      </c>
      <c r="AH28" s="181">
        <f t="shared" si="8"/>
        <v>171</v>
      </c>
      <c r="AI28" s="22">
        <f t="shared" si="8"/>
        <v>6964.68</v>
      </c>
      <c r="AJ28" s="181">
        <f t="shared" si="8"/>
        <v>134</v>
      </c>
      <c r="AK28" s="22">
        <f t="shared" si="8"/>
        <v>3235.5399999999995</v>
      </c>
      <c r="AL28" s="181">
        <f t="shared" si="8"/>
        <v>60</v>
      </c>
      <c r="AM28" s="22">
        <f t="shared" ref="AM28:AR28" si="9">AM14+AM15+AM16+AM17+AM18+AM19+AM21+AM22+AM23+AM24+AM25+AM26</f>
        <v>2683.7099999999996</v>
      </c>
      <c r="AN28" s="181">
        <f t="shared" si="9"/>
        <v>73</v>
      </c>
      <c r="AO28" s="22">
        <f t="shared" si="9"/>
        <v>3323.79</v>
      </c>
      <c r="AP28" s="181">
        <f t="shared" si="9"/>
        <v>105</v>
      </c>
      <c r="AQ28" s="22">
        <f t="shared" si="9"/>
        <v>4035.24</v>
      </c>
      <c r="AR28" s="181">
        <f t="shared" si="9"/>
        <v>125</v>
      </c>
      <c r="AS28" s="22">
        <f>+AS14+AS15+AS16+AS17+AS18+AS19+AS21+AS22+AS23+AS24+AS25+AS26</f>
        <v>5736.75</v>
      </c>
      <c r="AT28" s="181">
        <f>AT14+AT15+AT16+AT17+AT18+AT19+AT21+AT22+AT23+AT24+AT25+AT26</f>
        <v>155</v>
      </c>
      <c r="AU28" s="22">
        <f>+AU14+AU15+AU16+AU17+AU18+AU19+AU21+AU22+AU23+AU24+AU25+AU26</f>
        <v>4385.5500000000011</v>
      </c>
      <c r="AV28" s="181">
        <f>AV14+AV15+AV16+AV17+AV18+AV19+AV21+AV22+AV23+AV24+AV25+AV26</f>
        <v>134</v>
      </c>
      <c r="AW28" s="22">
        <f>+AW14+AW15+AW16+AW17+AW18+AW19+AW21+AW22+AW23+AW24+AW25+AW26</f>
        <v>5655.3</v>
      </c>
      <c r="AX28" s="181">
        <f>AX14+AX15+AX16+AX17+AX18+AX19+AX21+AX22+AX23+AX24+AX25+AX26</f>
        <v>163</v>
      </c>
      <c r="AY28" s="117">
        <f>+(AW28-AU28)/AU28</f>
        <v>0.2895303895748535</v>
      </c>
      <c r="AZ28" s="196"/>
      <c r="BA28" s="196"/>
      <c r="BB28" s="196"/>
    </row>
    <row r="29" spans="1:54">
      <c r="A29" s="6"/>
      <c r="B29" s="38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78"/>
      <c r="N29" s="77"/>
      <c r="O29" s="77"/>
      <c r="P29" s="77"/>
      <c r="Q29" s="78"/>
      <c r="R29" s="77"/>
      <c r="S29" s="77"/>
      <c r="T29" s="77"/>
      <c r="U29" s="77"/>
      <c r="V29" s="77"/>
      <c r="W29" s="77"/>
      <c r="X29" s="77"/>
      <c r="Y29" s="77"/>
      <c r="Z29" s="77"/>
      <c r="AA29" s="77"/>
      <c r="AB29" s="77"/>
      <c r="AC29" s="77"/>
      <c r="AD29" s="77"/>
      <c r="AE29" s="77"/>
      <c r="AF29" s="77"/>
      <c r="AG29" s="77"/>
      <c r="AH29" s="77"/>
      <c r="AI29" s="77"/>
      <c r="AJ29" s="77"/>
      <c r="AK29" s="77"/>
      <c r="AL29" s="77"/>
      <c r="AM29" s="77"/>
      <c r="AN29" s="77"/>
      <c r="AO29" s="77"/>
      <c r="AP29" s="77"/>
      <c r="AQ29" s="77"/>
      <c r="AR29" s="77"/>
      <c r="AS29" s="77"/>
      <c r="AT29" s="77"/>
      <c r="AU29" s="77"/>
      <c r="AV29" s="77"/>
      <c r="AW29" s="77"/>
      <c r="AX29" s="77"/>
      <c r="AY29" s="196"/>
      <c r="AZ29" s="196"/>
      <c r="BA29" s="196"/>
      <c r="BB29" s="196"/>
    </row>
    <row r="30" spans="1:54">
      <c r="A30" s="6"/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"/>
      <c r="N30" s="77"/>
      <c r="O30" s="77"/>
      <c r="P30" s="77"/>
      <c r="Q30" s="79" t="s">
        <v>82</v>
      </c>
      <c r="R30" s="75">
        <f>SUM(R28:R29)</f>
        <v>371</v>
      </c>
      <c r="S30" s="75"/>
      <c r="T30" s="75">
        <f>SUM(T28:T29)</f>
        <v>207</v>
      </c>
      <c r="U30" s="75"/>
      <c r="V30" s="75">
        <f>SUM(V28:V29)</f>
        <v>230</v>
      </c>
      <c r="W30" s="75"/>
      <c r="X30" s="75">
        <f>SUM(X28:X29)</f>
        <v>179</v>
      </c>
      <c r="Y30" s="75"/>
      <c r="Z30" s="75">
        <f>SUM(Z28:Z29)</f>
        <v>144</v>
      </c>
      <c r="AA30" s="75"/>
      <c r="AB30" s="75">
        <f>AB28</f>
        <v>187</v>
      </c>
      <c r="AC30" s="75"/>
      <c r="AD30" s="75">
        <v>159</v>
      </c>
      <c r="AE30" s="75"/>
      <c r="AF30" s="75">
        <f>AF28</f>
        <v>141</v>
      </c>
      <c r="AG30" s="75"/>
      <c r="AH30" s="75">
        <f>AH28</f>
        <v>171</v>
      </c>
      <c r="AI30" s="75"/>
      <c r="AJ30" s="75">
        <f>AJ28</f>
        <v>134</v>
      </c>
      <c r="AK30" s="75"/>
      <c r="AL30" s="75">
        <f>AL28</f>
        <v>60</v>
      </c>
      <c r="AM30" s="75"/>
      <c r="AN30" s="75">
        <f>AN28</f>
        <v>73</v>
      </c>
      <c r="AO30" s="75"/>
      <c r="AP30" s="75">
        <f>AP28</f>
        <v>105</v>
      </c>
      <c r="AQ30" s="75"/>
      <c r="AR30" s="75">
        <f>AR28</f>
        <v>125</v>
      </c>
      <c r="AS30" s="75"/>
      <c r="AT30" s="75">
        <f>AT28</f>
        <v>155</v>
      </c>
      <c r="AU30" s="75"/>
      <c r="AV30" s="75">
        <f>AV28</f>
        <v>134</v>
      </c>
      <c r="AW30" s="75"/>
      <c r="AX30" s="75">
        <f>AX28</f>
        <v>163</v>
      </c>
      <c r="AY30" s="196"/>
      <c r="AZ30" s="196"/>
      <c r="BA30" s="196"/>
      <c r="BB30" s="196"/>
    </row>
    <row r="31" spans="1:54">
      <c r="A31" s="6"/>
      <c r="B31" s="38"/>
      <c r="C31" s="38"/>
      <c r="D31" s="38"/>
      <c r="E31" s="245"/>
      <c r="F31" s="245"/>
      <c r="G31" s="38"/>
      <c r="H31" s="38"/>
      <c r="I31" s="38"/>
      <c r="J31" s="38"/>
      <c r="K31" s="38"/>
      <c r="L31" s="38"/>
      <c r="M31" s="76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196"/>
      <c r="AZ31" s="196"/>
      <c r="BA31" s="196"/>
      <c r="BB31" s="196"/>
    </row>
    <row r="32" spans="1:54">
      <c r="A32" s="6"/>
      <c r="B32" s="38">
        <f>+C11</f>
        <v>1998</v>
      </c>
      <c r="C32" s="36">
        <f>+C28</f>
        <v>5977.3102399999998</v>
      </c>
      <c r="D32" s="38"/>
      <c r="E32" s="196"/>
      <c r="F32" s="196"/>
      <c r="G32" s="38"/>
      <c r="H32" s="38"/>
      <c r="I32" s="38"/>
      <c r="J32" s="38"/>
      <c r="K32" s="38"/>
      <c r="L32" s="38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196"/>
      <c r="AZ32" s="196"/>
      <c r="BA32" s="196"/>
      <c r="BB32" s="196"/>
    </row>
    <row r="33" spans="1:54">
      <c r="A33" s="6"/>
      <c r="B33" s="38">
        <f>+E11</f>
        <v>1999</v>
      </c>
      <c r="C33" s="36">
        <f>+E28</f>
        <v>3865.5149999999999</v>
      </c>
      <c r="D33" s="38"/>
      <c r="E33" s="196"/>
      <c r="F33" s="196"/>
      <c r="G33" s="38"/>
      <c r="H33" s="38"/>
      <c r="I33" s="38"/>
      <c r="J33" s="38"/>
      <c r="K33" s="38"/>
      <c r="L33" s="38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196"/>
      <c r="AZ33" s="196"/>
      <c r="BA33" s="196"/>
      <c r="BB33" s="196"/>
    </row>
    <row r="34" spans="1:54">
      <c r="A34" s="6"/>
      <c r="B34" s="38">
        <f>+G11</f>
        <v>2000</v>
      </c>
      <c r="C34" s="36">
        <f>+G28</f>
        <v>2678.8979999999997</v>
      </c>
      <c r="D34" s="3"/>
      <c r="E34" s="196"/>
      <c r="F34" s="196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196"/>
      <c r="AZ34" s="196"/>
      <c r="BA34" s="196"/>
      <c r="BB34" s="196"/>
    </row>
    <row r="35" spans="1:54">
      <c r="A35" s="6"/>
      <c r="B35" s="38">
        <f>+I11</f>
        <v>2001</v>
      </c>
      <c r="C35" s="36">
        <f>+I28</f>
        <v>8035.2370000000001</v>
      </c>
      <c r="D35" s="3"/>
      <c r="E35" s="196"/>
      <c r="F35" s="196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196"/>
      <c r="AZ35" s="196"/>
      <c r="BA35" s="196"/>
      <c r="BB35" s="196"/>
    </row>
    <row r="36" spans="1:54">
      <c r="A36" s="3"/>
      <c r="B36" s="38">
        <f>+K11</f>
        <v>2002</v>
      </c>
      <c r="C36" s="36">
        <f>+K28</f>
        <v>4961.4800000000005</v>
      </c>
      <c r="D36" s="3"/>
      <c r="E36" s="196"/>
      <c r="F36" s="196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196"/>
      <c r="AZ36" s="196"/>
      <c r="BA36" s="196"/>
      <c r="BB36" s="196"/>
    </row>
    <row r="37" spans="1:54">
      <c r="A37" s="3"/>
      <c r="B37" s="38">
        <f>+M11</f>
        <v>2003</v>
      </c>
      <c r="C37" s="36">
        <f>+M28</f>
        <v>17825.250000000004</v>
      </c>
      <c r="D37" s="3"/>
      <c r="E37" s="196"/>
      <c r="F37" s="196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196"/>
      <c r="AZ37" s="196"/>
      <c r="BA37" s="196"/>
      <c r="BB37" s="196"/>
    </row>
    <row r="38" spans="1:54">
      <c r="A38" s="3"/>
      <c r="B38" s="38">
        <f>+O11</f>
        <v>2004</v>
      </c>
      <c r="C38" s="36">
        <f>+O28</f>
        <v>17818.809999999998</v>
      </c>
      <c r="D38" s="3"/>
      <c r="E38" s="196"/>
      <c r="F38" s="196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196"/>
      <c r="AZ38" s="196"/>
      <c r="BA38" s="196"/>
      <c r="BB38" s="196"/>
    </row>
    <row r="39" spans="1:54">
      <c r="A39" s="3"/>
      <c r="B39" s="38">
        <f>+Q11</f>
        <v>2005</v>
      </c>
      <c r="C39" s="36">
        <f>+Q28</f>
        <v>18093.12</v>
      </c>
      <c r="D39" s="3"/>
      <c r="E39" s="196"/>
      <c r="F39" s="196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196"/>
      <c r="AZ39" s="196"/>
      <c r="BA39" s="196"/>
      <c r="BB39" s="196"/>
    </row>
    <row r="40" spans="1:54">
      <c r="A40" s="3"/>
      <c r="B40" s="38">
        <f>+S11</f>
        <v>2006</v>
      </c>
      <c r="C40" s="36">
        <f>+S28</f>
        <v>12070.68</v>
      </c>
      <c r="D40" s="3"/>
      <c r="E40" s="196"/>
      <c r="F40" s="196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196"/>
      <c r="AZ40" s="196"/>
      <c r="BA40" s="196"/>
      <c r="BB40" s="196"/>
    </row>
    <row r="41" spans="1:54">
      <c r="A41" s="3"/>
      <c r="B41" s="38">
        <f>+U11</f>
        <v>2007</v>
      </c>
      <c r="C41" s="36">
        <f>+U28</f>
        <v>13529.750000000002</v>
      </c>
      <c r="D41" s="3"/>
      <c r="E41" s="196"/>
      <c r="F41" s="196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196"/>
      <c r="AZ41" s="196"/>
      <c r="BA41" s="196"/>
      <c r="BB41" s="196"/>
    </row>
    <row r="42" spans="1:54">
      <c r="A42" s="3"/>
      <c r="B42" s="38">
        <v>2008</v>
      </c>
      <c r="C42" s="36">
        <f>+W28</f>
        <v>9878.89</v>
      </c>
      <c r="D42" s="3"/>
      <c r="E42" s="196"/>
      <c r="F42" s="196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196"/>
      <c r="AZ42" s="196"/>
      <c r="BA42" s="196"/>
      <c r="BB42" s="196"/>
    </row>
    <row r="43" spans="1:54">
      <c r="A43" s="3"/>
      <c r="B43" s="38">
        <v>2009</v>
      </c>
      <c r="C43" s="36">
        <f>+Y28</f>
        <v>8242.5700000000015</v>
      </c>
      <c r="D43" s="3"/>
      <c r="E43" s="196"/>
      <c r="F43" s="196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196"/>
      <c r="AZ43" s="196"/>
      <c r="BA43" s="196"/>
      <c r="BB43" s="196"/>
    </row>
    <row r="44" spans="1:54">
      <c r="A44" s="3"/>
      <c r="B44" s="38">
        <v>2010</v>
      </c>
      <c r="C44" s="36">
        <f>+AA28</f>
        <v>11196.960000000001</v>
      </c>
      <c r="D44" s="3"/>
      <c r="E44" s="196"/>
      <c r="F44" s="196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196"/>
      <c r="AZ44" s="196"/>
      <c r="BA44" s="196"/>
      <c r="BB44" s="196"/>
    </row>
    <row r="45" spans="1:54">
      <c r="A45" s="3"/>
      <c r="B45" s="38">
        <v>2011</v>
      </c>
      <c r="C45" s="36">
        <f>+AC28</f>
        <v>9620.8799999999992</v>
      </c>
      <c r="D45" s="3"/>
      <c r="E45" s="196"/>
      <c r="F45" s="196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196"/>
      <c r="AZ45" s="196"/>
      <c r="BA45" s="196"/>
      <c r="BB45" s="196"/>
    </row>
    <row r="46" spans="1:54">
      <c r="A46" s="3"/>
      <c r="B46" s="38">
        <v>2012</v>
      </c>
      <c r="C46" s="36">
        <f>+AE28</f>
        <v>8643.85</v>
      </c>
      <c r="D46" s="3"/>
      <c r="E46" s="196"/>
      <c r="F46" s="196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196"/>
      <c r="AZ46" s="196"/>
      <c r="BA46" s="196"/>
      <c r="BB46" s="196"/>
    </row>
    <row r="47" spans="1:54">
      <c r="A47" s="3"/>
      <c r="B47" s="38">
        <v>2013</v>
      </c>
      <c r="C47" s="36">
        <f>AG28</f>
        <v>7618.9299999999994</v>
      </c>
      <c r="D47" s="3"/>
      <c r="E47" s="196"/>
      <c r="F47" s="196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196"/>
      <c r="AZ47" s="196"/>
      <c r="BA47" s="196"/>
      <c r="BB47" s="196"/>
    </row>
    <row r="48" spans="1:54">
      <c r="A48" s="3"/>
      <c r="B48" s="38">
        <v>2014</v>
      </c>
      <c r="C48" s="36">
        <f>AI28</f>
        <v>6964.68</v>
      </c>
      <c r="D48" s="3"/>
      <c r="E48" s="196"/>
      <c r="F48" s="196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196"/>
      <c r="AZ48" s="196"/>
      <c r="BA48" s="196"/>
      <c r="BB48" s="196"/>
    </row>
    <row r="49" spans="1:54">
      <c r="A49" s="3"/>
      <c r="B49" s="38">
        <v>2015</v>
      </c>
      <c r="C49" s="36">
        <f>AK28</f>
        <v>3235.5399999999995</v>
      </c>
      <c r="D49" s="3"/>
      <c r="E49" s="196"/>
      <c r="F49" s="196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196"/>
      <c r="AZ49" s="196"/>
      <c r="BA49" s="196"/>
      <c r="BB49" s="196"/>
    </row>
    <row r="50" spans="1:54">
      <c r="A50" s="3"/>
      <c r="B50" s="38">
        <v>2016</v>
      </c>
      <c r="C50" s="36">
        <f>AM28</f>
        <v>2683.7099999999996</v>
      </c>
      <c r="D50" s="3"/>
      <c r="E50" s="196"/>
      <c r="F50" s="196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196"/>
      <c r="AZ50" s="196"/>
      <c r="BA50" s="196"/>
      <c r="BB50" s="196"/>
    </row>
    <row r="51" spans="1:54">
      <c r="A51" s="3"/>
      <c r="B51" s="38">
        <v>2017</v>
      </c>
      <c r="C51" s="36">
        <f>AO28</f>
        <v>3323.79</v>
      </c>
      <c r="D51" s="3"/>
      <c r="E51" s="196"/>
      <c r="F51" s="196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196"/>
      <c r="AZ51" s="196"/>
      <c r="BA51" s="196"/>
      <c r="BB51" s="196"/>
    </row>
    <row r="52" spans="1:54">
      <c r="A52" s="3"/>
      <c r="B52" s="38">
        <v>2018</v>
      </c>
      <c r="C52" s="36">
        <f>AQ28</f>
        <v>4035.24</v>
      </c>
      <c r="D52" s="3"/>
      <c r="E52" s="196"/>
      <c r="F52" s="196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196"/>
      <c r="AZ52" s="196"/>
      <c r="BA52" s="196"/>
      <c r="BB52" s="196"/>
    </row>
    <row r="53" spans="1:54">
      <c r="A53" s="3"/>
      <c r="B53" s="38">
        <v>2019</v>
      </c>
      <c r="C53" s="36">
        <f>AS28</f>
        <v>5736.75</v>
      </c>
      <c r="D53" s="3"/>
      <c r="E53" s="196"/>
      <c r="F53" s="196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196"/>
      <c r="AZ53" s="196"/>
      <c r="BA53" s="196"/>
      <c r="BB53" s="196"/>
    </row>
    <row r="54" spans="1:54">
      <c r="A54" s="3"/>
      <c r="B54" s="38">
        <v>2020</v>
      </c>
      <c r="C54" s="36">
        <f>AU28</f>
        <v>4385.5500000000011</v>
      </c>
      <c r="D54" s="3"/>
      <c r="E54" s="196"/>
      <c r="F54" s="196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196"/>
      <c r="AZ54" s="196"/>
      <c r="BA54" s="196"/>
      <c r="BB54" s="196"/>
    </row>
    <row r="55" spans="1:54">
      <c r="A55" s="3"/>
      <c r="B55" s="38">
        <v>2021</v>
      </c>
      <c r="C55" s="36">
        <f>AW28</f>
        <v>5655.3</v>
      </c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196"/>
      <c r="AZ55" s="196"/>
      <c r="BA55" s="196"/>
      <c r="BB55" s="196"/>
    </row>
    <row r="56" spans="1:54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196"/>
      <c r="AZ56" s="196"/>
      <c r="BA56" s="196"/>
      <c r="BB56" s="196"/>
    </row>
    <row r="57" spans="1:54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196"/>
      <c r="AZ57" s="196"/>
      <c r="BA57" s="196"/>
      <c r="BB57" s="196"/>
    </row>
    <row r="58" spans="1:54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196"/>
      <c r="AZ58" s="196"/>
      <c r="BA58" s="196"/>
      <c r="BB58" s="196"/>
    </row>
    <row r="59" spans="1:54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196"/>
      <c r="AZ59" s="196"/>
      <c r="BA59" s="196"/>
      <c r="BB59" s="196"/>
    </row>
    <row r="60" spans="1:54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196"/>
      <c r="AZ60" s="196"/>
      <c r="BA60" s="196"/>
      <c r="BB60" s="196"/>
    </row>
    <row r="61" spans="1:54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196"/>
      <c r="AZ61" s="196"/>
      <c r="BA61" s="196"/>
      <c r="BB61" s="196"/>
    </row>
    <row r="62" spans="1:54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196"/>
      <c r="AZ62" s="196"/>
      <c r="BA62" s="196"/>
      <c r="BB62" s="196"/>
    </row>
    <row r="63" spans="1:54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196"/>
      <c r="AZ63" s="196"/>
      <c r="BA63" s="196"/>
      <c r="BB63" s="196"/>
    </row>
    <row r="64" spans="1:54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196"/>
      <c r="AZ64" s="196"/>
      <c r="BA64" s="196"/>
      <c r="BB64" s="196"/>
    </row>
    <row r="65" spans="1:54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196"/>
      <c r="AZ65" s="196"/>
      <c r="BA65" s="196"/>
      <c r="BB65" s="196"/>
    </row>
    <row r="66" spans="1:54" ht="15">
      <c r="A66" s="3"/>
      <c r="B66" s="3"/>
      <c r="C66" s="3"/>
      <c r="D66" s="3"/>
      <c r="E66" s="330" t="s">
        <v>83</v>
      </c>
      <c r="F66" s="331"/>
      <c r="G66" s="331"/>
      <c r="H66" s="331"/>
      <c r="I66" s="331"/>
      <c r="J66" s="331"/>
      <c r="K66" s="331"/>
      <c r="L66" s="331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196"/>
      <c r="AZ66" s="196"/>
      <c r="BA66" s="196"/>
      <c r="BB66" s="196"/>
    </row>
    <row r="67" spans="1:54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196"/>
      <c r="AZ67" s="196"/>
      <c r="BA67" s="196"/>
      <c r="BB67" s="196"/>
    </row>
    <row r="68" spans="1:54">
      <c r="A68" s="3"/>
      <c r="B68" s="62"/>
      <c r="C68" s="289" t="s">
        <v>84</v>
      </c>
      <c r="D68" s="290"/>
      <c r="E68" s="290"/>
      <c r="F68" s="291"/>
      <c r="G68" s="289" t="s">
        <v>85</v>
      </c>
      <c r="H68" s="290"/>
      <c r="I68" s="290"/>
      <c r="J68" s="291"/>
      <c r="K68" s="327" t="s">
        <v>86</v>
      </c>
      <c r="L68" s="328"/>
      <c r="M68" s="328"/>
      <c r="N68" s="329"/>
      <c r="O68" s="252"/>
      <c r="P68" s="252"/>
      <c r="Q68" s="289" t="s">
        <v>87</v>
      </c>
      <c r="R68" s="290"/>
      <c r="S68" s="290"/>
      <c r="T68" s="290"/>
      <c r="U68" s="290"/>
      <c r="V68" s="290"/>
      <c r="W68" s="290"/>
      <c r="X68" s="290"/>
      <c r="Y68" s="290"/>
      <c r="Z68" s="290"/>
      <c r="AA68" s="290"/>
      <c r="AB68" s="290"/>
      <c r="AC68" s="290"/>
      <c r="AD68" s="290"/>
      <c r="AE68" s="290"/>
      <c r="AF68" s="290"/>
      <c r="AG68" s="290"/>
      <c r="AH68" s="290"/>
      <c r="AI68" s="290"/>
      <c r="AJ68" s="290"/>
      <c r="AK68" s="290"/>
      <c r="AL68" s="290"/>
      <c r="AM68" s="290"/>
      <c r="AN68" s="290"/>
      <c r="AO68" s="290"/>
      <c r="AP68" s="290"/>
      <c r="AQ68" s="290"/>
      <c r="AR68" s="291"/>
      <c r="AS68" s="197"/>
      <c r="AT68" s="197"/>
      <c r="AU68" s="197"/>
      <c r="AV68" s="197"/>
      <c r="AW68" s="197"/>
      <c r="AX68" s="197"/>
      <c r="AY68" s="196"/>
      <c r="AZ68" s="196"/>
      <c r="BA68" s="196"/>
      <c r="BB68" s="196"/>
    </row>
    <row r="69" spans="1:54" ht="12.75" customHeight="1">
      <c r="A69" s="3"/>
      <c r="B69" s="95"/>
      <c r="C69" s="325" t="s">
        <v>88</v>
      </c>
      <c r="D69" s="325" t="s">
        <v>51</v>
      </c>
      <c r="E69" s="325" t="s">
        <v>89</v>
      </c>
      <c r="F69" s="325" t="s">
        <v>90</v>
      </c>
      <c r="G69" s="325" t="s">
        <v>88</v>
      </c>
      <c r="H69" s="325" t="s">
        <v>51</v>
      </c>
      <c r="I69" s="325" t="s">
        <v>89</v>
      </c>
      <c r="J69" s="325" t="s">
        <v>90</v>
      </c>
      <c r="K69" s="325" t="s">
        <v>88</v>
      </c>
      <c r="L69" s="325" t="s">
        <v>51</v>
      </c>
      <c r="M69" s="325" t="s">
        <v>89</v>
      </c>
      <c r="N69" s="325" t="s">
        <v>90</v>
      </c>
      <c r="O69" s="253"/>
      <c r="P69" s="253"/>
      <c r="Q69" s="325" t="s">
        <v>88</v>
      </c>
      <c r="R69" s="325" t="s">
        <v>51</v>
      </c>
      <c r="S69" s="253"/>
      <c r="T69" s="253"/>
      <c r="U69" s="253"/>
      <c r="V69" s="253"/>
      <c r="W69" s="253"/>
      <c r="X69" s="253"/>
      <c r="Y69" s="253"/>
      <c r="Z69" s="253"/>
      <c r="AA69" s="253"/>
      <c r="AB69" s="253"/>
      <c r="AC69" s="253"/>
      <c r="AD69" s="253"/>
      <c r="AE69" s="253"/>
      <c r="AF69" s="253"/>
      <c r="AG69" s="253"/>
      <c r="AH69" s="253"/>
      <c r="AI69" s="253"/>
      <c r="AJ69" s="253"/>
      <c r="AK69" s="253"/>
      <c r="AL69" s="253"/>
      <c r="AM69" s="253"/>
      <c r="AN69" s="253"/>
      <c r="AO69" s="253"/>
      <c r="AP69" s="253"/>
      <c r="AQ69" s="253"/>
      <c r="AR69" s="253"/>
      <c r="AS69" s="198"/>
      <c r="AT69" s="198"/>
      <c r="AU69" s="198"/>
      <c r="AV69" s="198"/>
      <c r="AW69" s="198"/>
      <c r="AX69" s="198"/>
      <c r="AY69" s="196"/>
      <c r="AZ69" s="196"/>
      <c r="BA69" s="196"/>
      <c r="BB69" s="196"/>
    </row>
    <row r="70" spans="1:54" ht="21.75" customHeight="1">
      <c r="A70" s="3"/>
      <c r="B70" s="26" t="s">
        <v>29</v>
      </c>
      <c r="C70" s="326"/>
      <c r="D70" s="326"/>
      <c r="E70" s="326"/>
      <c r="F70" s="326"/>
      <c r="G70" s="326"/>
      <c r="H70" s="326"/>
      <c r="I70" s="326"/>
      <c r="J70" s="326"/>
      <c r="K70" s="326"/>
      <c r="L70" s="326"/>
      <c r="M70" s="326"/>
      <c r="N70" s="326"/>
      <c r="O70" s="254"/>
      <c r="P70" s="254"/>
      <c r="Q70" s="326"/>
      <c r="R70" s="326"/>
      <c r="S70" s="254"/>
      <c r="T70" s="254"/>
      <c r="U70" s="254"/>
      <c r="V70" s="254"/>
      <c r="W70" s="254"/>
      <c r="X70" s="254"/>
      <c r="Y70" s="254"/>
      <c r="Z70" s="254"/>
      <c r="AA70" s="254"/>
      <c r="AB70" s="254"/>
      <c r="AC70" s="254"/>
      <c r="AD70" s="254"/>
      <c r="AE70" s="254"/>
      <c r="AF70" s="254"/>
      <c r="AG70" s="254"/>
      <c r="AH70" s="254"/>
      <c r="AI70" s="254"/>
      <c r="AJ70" s="254"/>
      <c r="AK70" s="254"/>
      <c r="AL70" s="254"/>
      <c r="AM70" s="254"/>
      <c r="AN70" s="254"/>
      <c r="AO70" s="254"/>
      <c r="AP70" s="254"/>
      <c r="AQ70" s="254"/>
      <c r="AR70" s="254"/>
      <c r="AS70" s="198"/>
      <c r="AT70" s="198"/>
      <c r="AU70" s="198"/>
      <c r="AV70" s="198"/>
      <c r="AW70" s="198"/>
      <c r="AX70" s="198"/>
      <c r="AY70" s="196"/>
      <c r="AZ70" s="196"/>
      <c r="BA70" s="196"/>
      <c r="BB70" s="196"/>
    </row>
    <row r="71" spans="1:54">
      <c r="A71" s="3"/>
      <c r="B71" s="96"/>
      <c r="C71" s="97"/>
      <c r="D71" s="97"/>
      <c r="E71" s="97"/>
      <c r="F71" s="98"/>
      <c r="G71" s="97"/>
      <c r="H71" s="97"/>
      <c r="I71" s="97"/>
      <c r="J71" s="98"/>
      <c r="K71" s="97"/>
      <c r="L71" s="97"/>
      <c r="M71" s="97"/>
      <c r="N71" s="98"/>
      <c r="O71" s="97"/>
      <c r="P71" s="97"/>
      <c r="Q71" s="97"/>
      <c r="R71" s="97"/>
      <c r="S71" s="97"/>
      <c r="T71" s="97"/>
      <c r="U71" s="97"/>
      <c r="V71" s="97"/>
      <c r="W71" s="97"/>
      <c r="X71" s="97"/>
      <c r="Y71" s="97"/>
      <c r="Z71" s="97"/>
      <c r="AA71" s="97"/>
      <c r="AB71" s="97"/>
      <c r="AC71" s="97"/>
      <c r="AD71" s="97"/>
      <c r="AE71" s="97"/>
      <c r="AF71" s="97"/>
      <c r="AG71" s="97"/>
      <c r="AH71" s="97"/>
      <c r="AI71" s="97"/>
      <c r="AJ71" s="97"/>
      <c r="AK71" s="97"/>
      <c r="AL71" s="97"/>
      <c r="AM71" s="97"/>
      <c r="AN71" s="97"/>
      <c r="AO71" s="97"/>
      <c r="AP71" s="97"/>
      <c r="AQ71" s="97"/>
      <c r="AR71" s="97"/>
      <c r="AS71" s="97"/>
      <c r="AT71" s="97"/>
      <c r="AU71" s="97"/>
      <c r="AV71" s="97"/>
      <c r="AW71" s="97"/>
      <c r="AX71" s="97"/>
      <c r="AY71" s="196"/>
      <c r="AZ71" s="196"/>
      <c r="BA71" s="196"/>
      <c r="BB71" s="196"/>
    </row>
    <row r="72" spans="1:54">
      <c r="A72" s="3"/>
      <c r="B72" s="30" t="s">
        <v>32</v>
      </c>
      <c r="C72" s="100">
        <v>0</v>
      </c>
      <c r="D72" s="100">
        <v>417840</v>
      </c>
      <c r="E72" s="100">
        <v>0</v>
      </c>
      <c r="F72" s="101">
        <v>0</v>
      </c>
      <c r="G72" s="100">
        <f>'ENE 2021'!F59</f>
        <v>0</v>
      </c>
      <c r="H72" s="100">
        <f>'ENE 2021'!F44</f>
        <v>1008930</v>
      </c>
      <c r="I72" s="100">
        <v>0</v>
      </c>
      <c r="J72" s="101">
        <v>0</v>
      </c>
      <c r="K72" s="107" t="e">
        <f t="shared" ref="K72:L83" si="10">+(G72-C72)/C72</f>
        <v>#DIV/0!</v>
      </c>
      <c r="L72" s="107">
        <f>+(H72-D72)/D72</f>
        <v>1.4146323951751867</v>
      </c>
      <c r="M72" s="107">
        <v>0</v>
      </c>
      <c r="N72" s="108">
        <v>0</v>
      </c>
      <c r="O72" s="107"/>
      <c r="P72" s="107"/>
      <c r="Q72" s="105">
        <f>G72</f>
        <v>0</v>
      </c>
      <c r="R72" s="105">
        <f>H72</f>
        <v>1008930</v>
      </c>
      <c r="S72" s="105"/>
      <c r="T72" s="105"/>
      <c r="U72" s="105"/>
      <c r="V72" s="105"/>
      <c r="W72" s="105"/>
      <c r="X72" s="105"/>
      <c r="Y72" s="105"/>
      <c r="Z72" s="105"/>
      <c r="AA72" s="105"/>
      <c r="AB72" s="105"/>
      <c r="AC72" s="105"/>
      <c r="AD72" s="105"/>
      <c r="AE72" s="105"/>
      <c r="AF72" s="105"/>
      <c r="AG72" s="105"/>
      <c r="AH72" s="105"/>
      <c r="AI72" s="105"/>
      <c r="AJ72" s="105"/>
      <c r="AK72" s="105"/>
      <c r="AL72" s="105"/>
      <c r="AM72" s="105"/>
      <c r="AN72" s="105"/>
      <c r="AO72" s="105"/>
      <c r="AP72" s="105"/>
      <c r="AQ72" s="105"/>
      <c r="AR72" s="105"/>
      <c r="AS72" s="105"/>
      <c r="AT72" s="105"/>
      <c r="AU72" s="105"/>
      <c r="AV72" s="105"/>
      <c r="AW72" s="105"/>
      <c r="AX72" s="105"/>
      <c r="AY72" s="196"/>
      <c r="AZ72" s="196"/>
      <c r="BA72" s="196"/>
      <c r="BB72" s="196"/>
    </row>
    <row r="73" spans="1:54">
      <c r="A73" s="3"/>
      <c r="B73" s="30" t="s">
        <v>38</v>
      </c>
      <c r="C73" s="100">
        <v>0</v>
      </c>
      <c r="D73" s="100">
        <v>591570</v>
      </c>
      <c r="E73" s="100">
        <v>0</v>
      </c>
      <c r="F73" s="101">
        <v>0</v>
      </c>
      <c r="G73" s="100">
        <f>'FEB 2021'!F62</f>
        <v>0</v>
      </c>
      <c r="H73" s="100">
        <f>'FEB 2021'!F63</f>
        <v>719820</v>
      </c>
      <c r="I73" s="100">
        <v>0</v>
      </c>
      <c r="J73" s="101">
        <v>0</v>
      </c>
      <c r="K73" s="107" t="e">
        <f t="shared" si="10"/>
        <v>#DIV/0!</v>
      </c>
      <c r="L73" s="107">
        <f t="shared" si="10"/>
        <v>0.21679598356914651</v>
      </c>
      <c r="M73" s="107">
        <v>0</v>
      </c>
      <c r="N73" s="108">
        <v>0</v>
      </c>
      <c r="O73" s="107"/>
      <c r="P73" s="107"/>
      <c r="Q73" s="105">
        <f t="shared" ref="Q73:Q83" si="11">Q72+G73</f>
        <v>0</v>
      </c>
      <c r="R73" s="105">
        <f t="shared" ref="R73:R83" si="12">R72+H73</f>
        <v>1728750</v>
      </c>
      <c r="S73" s="105"/>
      <c r="T73" s="105"/>
      <c r="U73" s="105"/>
      <c r="V73" s="105"/>
      <c r="W73" s="105"/>
      <c r="X73" s="105"/>
      <c r="Y73" s="105"/>
      <c r="Z73" s="105"/>
      <c r="AA73" s="105"/>
      <c r="AB73" s="105"/>
      <c r="AC73" s="105"/>
      <c r="AD73" s="105"/>
      <c r="AE73" s="105"/>
      <c r="AF73" s="105"/>
      <c r="AG73" s="105"/>
      <c r="AH73" s="105"/>
      <c r="AI73" s="105"/>
      <c r="AJ73" s="105"/>
      <c r="AK73" s="105"/>
      <c r="AL73" s="105"/>
      <c r="AM73" s="105"/>
      <c r="AN73" s="105"/>
      <c r="AO73" s="105"/>
      <c r="AP73" s="105"/>
      <c r="AQ73" s="105"/>
      <c r="AR73" s="105"/>
      <c r="AS73" s="105"/>
      <c r="AT73" s="105"/>
      <c r="AU73" s="105"/>
      <c r="AV73" s="105"/>
      <c r="AW73" s="105"/>
      <c r="AX73" s="105"/>
      <c r="AY73" s="196"/>
      <c r="AZ73" s="196"/>
      <c r="BA73" s="196"/>
      <c r="BB73" s="196"/>
    </row>
    <row r="74" spans="1:54">
      <c r="A74" s="3"/>
      <c r="B74" s="30" t="s">
        <v>40</v>
      </c>
      <c r="C74" s="100">
        <v>0</v>
      </c>
      <c r="D74" s="100">
        <v>408240</v>
      </c>
      <c r="E74" s="100">
        <v>0</v>
      </c>
      <c r="F74" s="101">
        <v>0</v>
      </c>
      <c r="G74" s="100">
        <f>'MAR 2021'!F54</f>
        <v>0</v>
      </c>
      <c r="H74" s="100">
        <f>'MAR 2021'!F55</f>
        <v>815730</v>
      </c>
      <c r="I74" s="100">
        <v>0</v>
      </c>
      <c r="J74" s="101">
        <v>0</v>
      </c>
      <c r="K74" s="107" t="e">
        <f t="shared" si="10"/>
        <v>#DIV/0!</v>
      </c>
      <c r="L74" s="107">
        <f t="shared" si="10"/>
        <v>0.99816284538506761</v>
      </c>
      <c r="M74" s="107">
        <v>0</v>
      </c>
      <c r="N74" s="108">
        <v>0</v>
      </c>
      <c r="O74" s="107"/>
      <c r="P74" s="107"/>
      <c r="Q74" s="105">
        <f t="shared" si="11"/>
        <v>0</v>
      </c>
      <c r="R74" s="105">
        <f t="shared" si="12"/>
        <v>2544480</v>
      </c>
      <c r="S74" s="105"/>
      <c r="T74" s="105"/>
      <c r="U74" s="105"/>
      <c r="V74" s="105"/>
      <c r="W74" s="105"/>
      <c r="X74" s="105"/>
      <c r="Y74" s="105"/>
      <c r="Z74" s="105"/>
      <c r="AA74" s="105"/>
      <c r="AB74" s="105"/>
      <c r="AC74" s="105"/>
      <c r="AD74" s="105"/>
      <c r="AE74" s="105"/>
      <c r="AF74" s="105"/>
      <c r="AG74" s="105"/>
      <c r="AH74" s="105"/>
      <c r="AI74" s="105"/>
      <c r="AJ74" s="105"/>
      <c r="AK74" s="105"/>
      <c r="AL74" s="105"/>
      <c r="AM74" s="105"/>
      <c r="AN74" s="105"/>
      <c r="AO74" s="105"/>
      <c r="AP74" s="105"/>
      <c r="AQ74" s="105"/>
      <c r="AR74" s="105"/>
      <c r="AS74" s="105"/>
      <c r="AT74" s="105"/>
      <c r="AU74" s="105"/>
      <c r="AV74" s="105"/>
      <c r="AW74" s="105"/>
      <c r="AX74" s="105"/>
      <c r="AY74" s="196"/>
      <c r="AZ74" s="196"/>
      <c r="BA74" s="196"/>
      <c r="BB74" s="196"/>
    </row>
    <row r="75" spans="1:54">
      <c r="A75" s="3"/>
      <c r="B75" s="30" t="s">
        <v>43</v>
      </c>
      <c r="C75" s="100">
        <v>0</v>
      </c>
      <c r="D75" s="100">
        <v>188130</v>
      </c>
      <c r="E75" s="100">
        <v>0</v>
      </c>
      <c r="F75" s="101">
        <v>0</v>
      </c>
      <c r="G75" s="100">
        <f>'ABR 2021'!F54</f>
        <v>0</v>
      </c>
      <c r="H75" s="100">
        <f>'ABR 2021'!F55</f>
        <v>323730</v>
      </c>
      <c r="I75" s="100">
        <v>0</v>
      </c>
      <c r="J75" s="101">
        <v>0</v>
      </c>
      <c r="K75" s="107" t="e">
        <f t="shared" si="10"/>
        <v>#DIV/0!</v>
      </c>
      <c r="L75" s="107">
        <f t="shared" si="10"/>
        <v>0.72077818529740079</v>
      </c>
      <c r="M75" s="107">
        <v>0</v>
      </c>
      <c r="N75" s="108">
        <v>0</v>
      </c>
      <c r="O75" s="107"/>
      <c r="P75" s="107"/>
      <c r="Q75" s="105">
        <f t="shared" si="11"/>
        <v>0</v>
      </c>
      <c r="R75" s="105">
        <f t="shared" si="12"/>
        <v>2868210</v>
      </c>
      <c r="S75" s="105"/>
      <c r="T75" s="105"/>
      <c r="U75" s="105"/>
      <c r="V75" s="105"/>
      <c r="W75" s="105"/>
      <c r="X75" s="105"/>
      <c r="Y75" s="105"/>
      <c r="Z75" s="105"/>
      <c r="AA75" s="105"/>
      <c r="AB75" s="105"/>
      <c r="AC75" s="105"/>
      <c r="AD75" s="105"/>
      <c r="AE75" s="105"/>
      <c r="AF75" s="105"/>
      <c r="AG75" s="105"/>
      <c r="AH75" s="105"/>
      <c r="AI75" s="105"/>
      <c r="AJ75" s="105"/>
      <c r="AK75" s="105"/>
      <c r="AL75" s="105"/>
      <c r="AM75" s="105"/>
      <c r="AN75" s="105"/>
      <c r="AO75" s="105"/>
      <c r="AP75" s="105"/>
      <c r="AQ75" s="105"/>
      <c r="AR75" s="105"/>
      <c r="AS75" s="105"/>
      <c r="AT75" s="105"/>
      <c r="AU75" s="105"/>
      <c r="AV75" s="105"/>
      <c r="AW75" s="105"/>
      <c r="AX75" s="105"/>
      <c r="AY75" s="196"/>
      <c r="AZ75" s="196"/>
      <c r="BA75" s="196"/>
      <c r="BB75" s="196"/>
    </row>
    <row r="76" spans="1:54">
      <c r="A76" s="3"/>
      <c r="B76" s="30" t="s">
        <v>45</v>
      </c>
      <c r="C76" s="100">
        <v>0</v>
      </c>
      <c r="D76" s="100">
        <v>279930</v>
      </c>
      <c r="E76" s="100">
        <v>0</v>
      </c>
      <c r="F76" s="101">
        <v>0</v>
      </c>
      <c r="G76" s="100">
        <f>'MAY 2021'!F55</f>
        <v>0</v>
      </c>
      <c r="H76" s="100">
        <f>'MAY 2021'!F42</f>
        <v>142350</v>
      </c>
      <c r="I76" s="100">
        <v>0</v>
      </c>
      <c r="J76" s="101">
        <v>0</v>
      </c>
      <c r="K76" s="107" t="e">
        <f t="shared" si="10"/>
        <v>#DIV/0!</v>
      </c>
      <c r="L76" s="107">
        <f t="shared" si="10"/>
        <v>-0.49148001286035797</v>
      </c>
      <c r="M76" s="107">
        <v>0</v>
      </c>
      <c r="N76" s="108">
        <v>0</v>
      </c>
      <c r="O76" s="107"/>
      <c r="P76" s="107"/>
      <c r="Q76" s="105">
        <f t="shared" si="11"/>
        <v>0</v>
      </c>
      <c r="R76" s="105">
        <f t="shared" si="12"/>
        <v>3010560</v>
      </c>
      <c r="S76" s="105"/>
      <c r="T76" s="105"/>
      <c r="U76" s="105"/>
      <c r="V76" s="105"/>
      <c r="W76" s="105"/>
      <c r="X76" s="105"/>
      <c r="Y76" s="105"/>
      <c r="Z76" s="105"/>
      <c r="AA76" s="105"/>
      <c r="AB76" s="105"/>
      <c r="AC76" s="105"/>
      <c r="AD76" s="105"/>
      <c r="AE76" s="105"/>
      <c r="AF76" s="105"/>
      <c r="AG76" s="105"/>
      <c r="AH76" s="105"/>
      <c r="AI76" s="105"/>
      <c r="AJ76" s="105"/>
      <c r="AK76" s="105"/>
      <c r="AL76" s="105"/>
      <c r="AM76" s="105"/>
      <c r="AN76" s="105"/>
      <c r="AO76" s="105"/>
      <c r="AP76" s="105"/>
      <c r="AQ76" s="105"/>
      <c r="AR76" s="105"/>
      <c r="AS76" s="105"/>
      <c r="AT76" s="105"/>
      <c r="AU76" s="105"/>
      <c r="AV76" s="105"/>
      <c r="AW76" s="105"/>
      <c r="AX76" s="105"/>
      <c r="AY76" s="196"/>
      <c r="AZ76" s="196"/>
      <c r="BA76" s="196"/>
      <c r="BB76" s="196"/>
    </row>
    <row r="77" spans="1:54">
      <c r="A77" s="3"/>
      <c r="B77" s="30" t="s">
        <v>47</v>
      </c>
      <c r="C77" s="100">
        <v>0</v>
      </c>
      <c r="D77" s="100">
        <v>202080</v>
      </c>
      <c r="E77" s="100">
        <v>0</v>
      </c>
      <c r="F77" s="101">
        <v>0</v>
      </c>
      <c r="G77" s="100">
        <f>'JUN 2021'!$G$47</f>
        <v>0</v>
      </c>
      <c r="H77" s="100">
        <f>'JUN 2021'!F31</f>
        <v>189810</v>
      </c>
      <c r="I77" s="100">
        <v>0</v>
      </c>
      <c r="J77" s="101">
        <v>0</v>
      </c>
      <c r="K77" s="107" t="e">
        <f t="shared" si="10"/>
        <v>#DIV/0!</v>
      </c>
      <c r="L77" s="107">
        <f t="shared" si="10"/>
        <v>-6.071852731591449E-2</v>
      </c>
      <c r="M77" s="107">
        <v>0</v>
      </c>
      <c r="N77" s="108">
        <v>0</v>
      </c>
      <c r="O77" s="107"/>
      <c r="P77" s="107"/>
      <c r="Q77" s="105">
        <f t="shared" si="11"/>
        <v>0</v>
      </c>
      <c r="R77" s="105">
        <f t="shared" si="12"/>
        <v>3200370</v>
      </c>
      <c r="S77" s="105"/>
      <c r="T77" s="105"/>
      <c r="U77" s="105"/>
      <c r="V77" s="105"/>
      <c r="W77" s="105"/>
      <c r="X77" s="105"/>
      <c r="Y77" s="105"/>
      <c r="Z77" s="105"/>
      <c r="AA77" s="105"/>
      <c r="AB77" s="105"/>
      <c r="AC77" s="105"/>
      <c r="AD77" s="105"/>
      <c r="AE77" s="105"/>
      <c r="AF77" s="105"/>
      <c r="AG77" s="105"/>
      <c r="AH77" s="105"/>
      <c r="AI77" s="105"/>
      <c r="AJ77" s="105"/>
      <c r="AK77" s="105"/>
      <c r="AL77" s="105"/>
      <c r="AM77" s="105"/>
      <c r="AN77" s="105"/>
      <c r="AO77" s="105"/>
      <c r="AP77" s="105"/>
      <c r="AQ77" s="105"/>
      <c r="AR77" s="105"/>
      <c r="AS77" s="105"/>
      <c r="AT77" s="105"/>
      <c r="AU77" s="105"/>
      <c r="AV77" s="105"/>
      <c r="AW77" s="105"/>
      <c r="AX77" s="105"/>
      <c r="AY77" s="196"/>
      <c r="AZ77" s="196"/>
      <c r="BA77" s="196"/>
      <c r="BB77" s="196"/>
    </row>
    <row r="78" spans="1:54">
      <c r="A78" s="3"/>
      <c r="B78" s="30" t="s">
        <v>55</v>
      </c>
      <c r="C78" s="100">
        <v>0</v>
      </c>
      <c r="D78" s="100">
        <v>178920</v>
      </c>
      <c r="E78" s="100">
        <v>0</v>
      </c>
      <c r="F78" s="101">
        <v>0</v>
      </c>
      <c r="G78" s="100">
        <f>'JUL 2021'!G46</f>
        <v>0</v>
      </c>
      <c r="H78" s="100">
        <f>'JUL 2021'!F31</f>
        <v>288270</v>
      </c>
      <c r="I78" s="100">
        <v>0</v>
      </c>
      <c r="J78" s="101">
        <v>0</v>
      </c>
      <c r="K78" s="107" t="e">
        <f t="shared" si="10"/>
        <v>#DIV/0!</v>
      </c>
      <c r="L78" s="107">
        <f t="shared" si="10"/>
        <v>0.61116700201207241</v>
      </c>
      <c r="M78" s="107">
        <v>0</v>
      </c>
      <c r="N78" s="108">
        <v>0</v>
      </c>
      <c r="O78" s="107"/>
      <c r="P78" s="107"/>
      <c r="Q78" s="105">
        <f t="shared" si="11"/>
        <v>0</v>
      </c>
      <c r="R78" s="105">
        <f t="shared" si="12"/>
        <v>3488640</v>
      </c>
      <c r="S78" s="105"/>
      <c r="T78" s="105"/>
      <c r="U78" s="105"/>
      <c r="V78" s="105"/>
      <c r="W78" s="105"/>
      <c r="X78" s="105"/>
      <c r="Y78" s="105"/>
      <c r="Z78" s="105"/>
      <c r="AA78" s="105"/>
      <c r="AB78" s="105"/>
      <c r="AC78" s="105"/>
      <c r="AD78" s="105"/>
      <c r="AE78" s="105"/>
      <c r="AF78" s="105"/>
      <c r="AG78" s="105"/>
      <c r="AH78" s="105"/>
      <c r="AI78" s="105"/>
      <c r="AJ78" s="105"/>
      <c r="AK78" s="105"/>
      <c r="AL78" s="105"/>
      <c r="AM78" s="105"/>
      <c r="AN78" s="105"/>
      <c r="AO78" s="105"/>
      <c r="AP78" s="105"/>
      <c r="AQ78" s="105"/>
      <c r="AR78" s="105"/>
      <c r="AS78" s="105"/>
      <c r="AT78" s="105"/>
      <c r="AU78" s="105"/>
      <c r="AV78" s="105"/>
      <c r="AW78" s="105"/>
      <c r="AX78" s="105"/>
      <c r="AY78" s="196"/>
      <c r="AZ78" s="196"/>
      <c r="BA78" s="196"/>
      <c r="BB78" s="196"/>
    </row>
    <row r="79" spans="1:54">
      <c r="A79" s="3"/>
      <c r="B79" s="30" t="s">
        <v>59</v>
      </c>
      <c r="C79" s="100">
        <v>0</v>
      </c>
      <c r="D79" s="100">
        <v>155820</v>
      </c>
      <c r="E79" s="100">
        <v>0</v>
      </c>
      <c r="F79" s="101">
        <v>0</v>
      </c>
      <c r="G79" s="100">
        <f>'AGO 2021'!G43</f>
        <v>0</v>
      </c>
      <c r="H79" s="100">
        <f>'AGO 2021'!F30</f>
        <v>642030</v>
      </c>
      <c r="I79" s="100">
        <v>0</v>
      </c>
      <c r="J79" s="101">
        <v>0</v>
      </c>
      <c r="K79" s="107" t="e">
        <f t="shared" si="10"/>
        <v>#DIV/0!</v>
      </c>
      <c r="L79" s="107">
        <f t="shared" si="10"/>
        <v>3.1203311513284557</v>
      </c>
      <c r="M79" s="107">
        <v>0</v>
      </c>
      <c r="N79" s="108">
        <v>0</v>
      </c>
      <c r="O79" s="107"/>
      <c r="P79" s="107"/>
      <c r="Q79" s="105">
        <f t="shared" si="11"/>
        <v>0</v>
      </c>
      <c r="R79" s="105">
        <f t="shared" si="12"/>
        <v>4130670</v>
      </c>
      <c r="S79" s="105"/>
      <c r="T79" s="105"/>
      <c r="U79" s="105"/>
      <c r="V79" s="105"/>
      <c r="W79" s="105"/>
      <c r="X79" s="105"/>
      <c r="Y79" s="105"/>
      <c r="Z79" s="105"/>
      <c r="AA79" s="105"/>
      <c r="AB79" s="105"/>
      <c r="AC79" s="105"/>
      <c r="AD79" s="105"/>
      <c r="AE79" s="105"/>
      <c r="AF79" s="105"/>
      <c r="AG79" s="105"/>
      <c r="AH79" s="105"/>
      <c r="AI79" s="105"/>
      <c r="AJ79" s="105"/>
      <c r="AK79" s="105"/>
      <c r="AL79" s="105"/>
      <c r="AM79" s="105"/>
      <c r="AN79" s="105"/>
      <c r="AO79" s="105"/>
      <c r="AP79" s="105"/>
      <c r="AQ79" s="105"/>
      <c r="AR79" s="105"/>
      <c r="AS79" s="105"/>
      <c r="AT79" s="105"/>
      <c r="AU79" s="105"/>
      <c r="AV79" s="105"/>
      <c r="AW79" s="105"/>
      <c r="AX79" s="105"/>
      <c r="AY79" s="196"/>
      <c r="AZ79" s="196"/>
      <c r="BA79" s="196"/>
      <c r="BB79" s="196"/>
    </row>
    <row r="80" spans="1:54">
      <c r="A80" s="3"/>
      <c r="B80" s="30" t="s">
        <v>62</v>
      </c>
      <c r="C80" s="100">
        <v>0</v>
      </c>
      <c r="D80" s="100">
        <v>414900</v>
      </c>
      <c r="E80" s="100">
        <v>0</v>
      </c>
      <c r="F80" s="101">
        <v>0</v>
      </c>
      <c r="G80" s="100">
        <f>'SEP 2021'!G58</f>
        <v>0</v>
      </c>
      <c r="H80" s="100">
        <f>'SEP 2021'!F59</f>
        <v>288390</v>
      </c>
      <c r="I80" s="100">
        <v>0</v>
      </c>
      <c r="J80" s="101">
        <v>0</v>
      </c>
      <c r="K80" s="107" t="e">
        <f t="shared" si="10"/>
        <v>#DIV/0!</v>
      </c>
      <c r="L80" s="107">
        <f t="shared" si="10"/>
        <v>-0.30491684743311642</v>
      </c>
      <c r="M80" s="107">
        <v>0</v>
      </c>
      <c r="N80" s="108">
        <v>0</v>
      </c>
      <c r="O80" s="107"/>
      <c r="P80" s="107"/>
      <c r="Q80" s="105">
        <f t="shared" si="11"/>
        <v>0</v>
      </c>
      <c r="R80" s="105">
        <f t="shared" si="12"/>
        <v>4419060</v>
      </c>
      <c r="S80" s="105"/>
      <c r="T80" s="105"/>
      <c r="U80" s="105"/>
      <c r="V80" s="105"/>
      <c r="W80" s="105"/>
      <c r="X80" s="105"/>
      <c r="Y80" s="105"/>
      <c r="Z80" s="105"/>
      <c r="AA80" s="105"/>
      <c r="AB80" s="105"/>
      <c r="AC80" s="105"/>
      <c r="AD80" s="105"/>
      <c r="AE80" s="105"/>
      <c r="AF80" s="105"/>
      <c r="AG80" s="105"/>
      <c r="AH80" s="105"/>
      <c r="AI80" s="105"/>
      <c r="AJ80" s="105"/>
      <c r="AK80" s="105"/>
      <c r="AL80" s="105"/>
      <c r="AM80" s="105"/>
      <c r="AN80" s="105"/>
      <c r="AO80" s="105"/>
      <c r="AP80" s="105"/>
      <c r="AQ80" s="105"/>
      <c r="AR80" s="105"/>
      <c r="AS80" s="105"/>
      <c r="AT80" s="105"/>
      <c r="AU80" s="105"/>
      <c r="AV80" s="105"/>
      <c r="AW80" s="105"/>
      <c r="AX80" s="105"/>
      <c r="AY80" s="196"/>
      <c r="AZ80" s="196"/>
      <c r="BA80" s="196"/>
      <c r="BB80" s="196"/>
    </row>
    <row r="81" spans="1:54">
      <c r="A81" s="3"/>
      <c r="B81" s="30" t="s">
        <v>64</v>
      </c>
      <c r="C81" s="100">
        <v>0</v>
      </c>
      <c r="D81" s="100">
        <v>417420</v>
      </c>
      <c r="E81" s="100">
        <v>0</v>
      </c>
      <c r="F81" s="101">
        <v>0</v>
      </c>
      <c r="G81" s="100">
        <f>'OCT 2021'!F54</f>
        <v>0</v>
      </c>
      <c r="H81" s="100">
        <f>'OCT 2021'!F55</f>
        <v>96240</v>
      </c>
      <c r="I81" s="100">
        <v>0</v>
      </c>
      <c r="J81" s="101">
        <v>0</v>
      </c>
      <c r="K81" s="107" t="e">
        <f t="shared" si="10"/>
        <v>#DIV/0!</v>
      </c>
      <c r="L81" s="107">
        <f t="shared" si="10"/>
        <v>-0.76944085094149772</v>
      </c>
      <c r="M81" s="107">
        <v>0</v>
      </c>
      <c r="N81" s="108">
        <v>0</v>
      </c>
      <c r="O81" s="107"/>
      <c r="P81" s="107"/>
      <c r="Q81" s="105">
        <f t="shared" si="11"/>
        <v>0</v>
      </c>
      <c r="R81" s="105">
        <f t="shared" si="12"/>
        <v>4515300</v>
      </c>
      <c r="S81" s="105"/>
      <c r="T81" s="105"/>
      <c r="U81" s="105"/>
      <c r="V81" s="105"/>
      <c r="W81" s="105"/>
      <c r="X81" s="105"/>
      <c r="Y81" s="105"/>
      <c r="Z81" s="105"/>
      <c r="AA81" s="105"/>
      <c r="AB81" s="105"/>
      <c r="AC81" s="105"/>
      <c r="AD81" s="105"/>
      <c r="AE81" s="105"/>
      <c r="AF81" s="105"/>
      <c r="AG81" s="105"/>
      <c r="AH81" s="105"/>
      <c r="AI81" s="105"/>
      <c r="AJ81" s="105"/>
      <c r="AK81" s="105"/>
      <c r="AL81" s="105"/>
      <c r="AM81" s="105"/>
      <c r="AN81" s="105"/>
      <c r="AO81" s="105"/>
      <c r="AP81" s="105"/>
      <c r="AQ81" s="105"/>
      <c r="AR81" s="105"/>
      <c r="AS81" s="105"/>
      <c r="AT81" s="105"/>
      <c r="AU81" s="105"/>
      <c r="AV81" s="105"/>
      <c r="AW81" s="105"/>
      <c r="AX81" s="105"/>
      <c r="AY81" s="196"/>
      <c r="AZ81" s="196"/>
      <c r="BA81" s="196"/>
      <c r="BB81" s="196"/>
    </row>
    <row r="82" spans="1:54">
      <c r="A82" s="3"/>
      <c r="B82" s="30" t="s">
        <v>68</v>
      </c>
      <c r="C82" s="100">
        <v>0</v>
      </c>
      <c r="D82" s="100">
        <v>225540</v>
      </c>
      <c r="E82" s="100">
        <v>0</v>
      </c>
      <c r="F82" s="101">
        <v>0</v>
      </c>
      <c r="G82" s="100">
        <f>'NOV 2021'!F56</f>
        <v>0</v>
      </c>
      <c r="H82" s="100">
        <f>'NOV 2021'!F57</f>
        <v>509250</v>
      </c>
      <c r="I82" s="100">
        <v>0</v>
      </c>
      <c r="J82" s="101">
        <v>0</v>
      </c>
      <c r="K82" s="107">
        <v>0</v>
      </c>
      <c r="L82" s="107">
        <f t="shared" si="10"/>
        <v>1.2579143389199254</v>
      </c>
      <c r="M82" s="107">
        <v>0</v>
      </c>
      <c r="N82" s="108">
        <v>0</v>
      </c>
      <c r="O82" s="107"/>
      <c r="P82" s="107"/>
      <c r="Q82" s="105">
        <f t="shared" si="11"/>
        <v>0</v>
      </c>
      <c r="R82" s="105">
        <f t="shared" si="12"/>
        <v>5024550</v>
      </c>
      <c r="S82" s="105"/>
      <c r="T82" s="105"/>
      <c r="U82" s="105"/>
      <c r="V82" s="105"/>
      <c r="W82" s="105"/>
      <c r="X82" s="105"/>
      <c r="Y82" s="105"/>
      <c r="Z82" s="105"/>
      <c r="AA82" s="105"/>
      <c r="AB82" s="105"/>
      <c r="AC82" s="105"/>
      <c r="AD82" s="105"/>
      <c r="AE82" s="105"/>
      <c r="AF82" s="105"/>
      <c r="AG82" s="105"/>
      <c r="AH82" s="105"/>
      <c r="AI82" s="105"/>
      <c r="AJ82" s="105"/>
      <c r="AK82" s="105"/>
      <c r="AL82" s="105"/>
      <c r="AM82" s="105"/>
      <c r="AN82" s="105"/>
      <c r="AO82" s="105"/>
      <c r="AP82" s="105"/>
      <c r="AQ82" s="105"/>
      <c r="AR82" s="105"/>
      <c r="AS82" s="105"/>
      <c r="AT82" s="105"/>
      <c r="AU82" s="105"/>
      <c r="AV82" s="105"/>
      <c r="AW82" s="105"/>
      <c r="AX82" s="105"/>
      <c r="AY82" s="196"/>
      <c r="AZ82" s="196"/>
      <c r="BA82" s="196"/>
      <c r="BB82" s="196"/>
    </row>
    <row r="83" spans="1:54">
      <c r="A83" s="3"/>
      <c r="B83" s="33" t="s">
        <v>77</v>
      </c>
      <c r="C83" s="102">
        <v>0</v>
      </c>
      <c r="D83" s="102">
        <v>905160</v>
      </c>
      <c r="E83" s="102">
        <v>0</v>
      </c>
      <c r="F83" s="103">
        <v>0</v>
      </c>
      <c r="G83" s="102">
        <f>'DIC 2021'!F55</f>
        <v>0</v>
      </c>
      <c r="H83" s="102">
        <f>'DIC 2021'!F56</f>
        <v>630750</v>
      </c>
      <c r="I83" s="102">
        <v>0</v>
      </c>
      <c r="J83" s="103">
        <v>0</v>
      </c>
      <c r="K83" s="111">
        <v>0</v>
      </c>
      <c r="L83" s="109">
        <f t="shared" si="10"/>
        <v>-0.30316187193424365</v>
      </c>
      <c r="M83" s="109">
        <v>0</v>
      </c>
      <c r="N83" s="110">
        <v>0</v>
      </c>
      <c r="O83" s="109"/>
      <c r="P83" s="109"/>
      <c r="Q83" s="106">
        <f t="shared" si="11"/>
        <v>0</v>
      </c>
      <c r="R83" s="106">
        <f t="shared" si="12"/>
        <v>5655300</v>
      </c>
      <c r="S83" s="106"/>
      <c r="T83" s="106"/>
      <c r="U83" s="106"/>
      <c r="V83" s="106"/>
      <c r="W83" s="106"/>
      <c r="X83" s="106"/>
      <c r="Y83" s="106"/>
      <c r="Z83" s="106"/>
      <c r="AA83" s="106"/>
      <c r="AB83" s="106"/>
      <c r="AC83" s="106"/>
      <c r="AD83" s="106"/>
      <c r="AE83" s="106"/>
      <c r="AF83" s="106"/>
      <c r="AG83" s="106"/>
      <c r="AH83" s="106"/>
      <c r="AI83" s="106"/>
      <c r="AJ83" s="106"/>
      <c r="AK83" s="106"/>
      <c r="AL83" s="106"/>
      <c r="AM83" s="106"/>
      <c r="AN83" s="106"/>
      <c r="AO83" s="106"/>
      <c r="AP83" s="106"/>
      <c r="AQ83" s="106"/>
      <c r="AR83" s="106"/>
      <c r="AS83" s="105"/>
      <c r="AT83" s="105"/>
      <c r="AU83" s="105"/>
      <c r="AV83" s="105"/>
      <c r="AW83" s="105"/>
      <c r="AX83" s="105"/>
      <c r="AY83" s="196"/>
      <c r="AZ83" s="196"/>
      <c r="BA83" s="196"/>
      <c r="BB83" s="196"/>
    </row>
    <row r="84" spans="1:54">
      <c r="A84" s="3"/>
      <c r="B84" s="3"/>
      <c r="C84" s="104"/>
      <c r="D84" s="104"/>
      <c r="E84" s="104"/>
      <c r="F84" s="104"/>
      <c r="G84" s="104"/>
      <c r="H84" s="104"/>
      <c r="I84" s="104"/>
      <c r="J84" s="104"/>
      <c r="K84" s="107"/>
      <c r="L84" s="3"/>
      <c r="M84" s="3"/>
      <c r="N84" s="3"/>
      <c r="O84" s="3"/>
      <c r="P84" s="3"/>
      <c r="Q84" s="57"/>
      <c r="R84" s="57"/>
      <c r="S84" s="57"/>
      <c r="T84" s="57"/>
      <c r="U84" s="57"/>
      <c r="V84" s="57"/>
      <c r="W84" s="57"/>
      <c r="X84" s="57"/>
      <c r="Y84" s="57"/>
      <c r="Z84" s="57"/>
      <c r="AA84" s="57"/>
      <c r="AB84" s="57"/>
      <c r="AC84" s="57"/>
      <c r="AD84" s="57"/>
      <c r="AE84" s="57"/>
      <c r="AF84" s="57"/>
      <c r="AG84" s="57"/>
      <c r="AH84" s="57"/>
      <c r="AI84" s="57"/>
      <c r="AJ84" s="57"/>
      <c r="AK84" s="57"/>
      <c r="AL84" s="57"/>
      <c r="AM84" s="57"/>
      <c r="AN84" s="57"/>
      <c r="AO84" s="57"/>
      <c r="AP84" s="57"/>
      <c r="AQ84" s="57"/>
      <c r="AR84" s="57"/>
      <c r="AS84" s="57"/>
      <c r="AT84" s="57"/>
      <c r="AU84" s="57"/>
      <c r="AV84" s="57"/>
      <c r="AW84" s="57"/>
      <c r="AX84" s="57"/>
      <c r="AY84" s="196"/>
      <c r="AZ84" s="196"/>
      <c r="BA84" s="196"/>
      <c r="BB84" s="196"/>
    </row>
    <row r="85" spans="1:54">
      <c r="A85" s="3"/>
      <c r="B85" s="61" t="s">
        <v>49</v>
      </c>
      <c r="C85" s="99">
        <f>SUM(C72:C83)</f>
        <v>0</v>
      </c>
      <c r="D85" s="99">
        <f>SUM(D72:D83)</f>
        <v>4385550</v>
      </c>
      <c r="E85" s="99">
        <f t="shared" ref="E85:J85" si="13">SUM(E72:E83)</f>
        <v>0</v>
      </c>
      <c r="F85" s="99">
        <f t="shared" si="13"/>
        <v>0</v>
      </c>
      <c r="G85" s="99">
        <f>SUM(G72:G83)</f>
        <v>0</v>
      </c>
      <c r="H85" s="99">
        <f>SUM(H72:H83)</f>
        <v>5655300</v>
      </c>
      <c r="I85" s="99">
        <f t="shared" si="13"/>
        <v>0</v>
      </c>
      <c r="J85" s="99">
        <f t="shared" si="13"/>
        <v>0</v>
      </c>
      <c r="K85" s="107" t="e">
        <f>+(G85-C85)/C85</f>
        <v>#DIV/0!</v>
      </c>
      <c r="L85" s="107">
        <f>+(H85-D85)/D85</f>
        <v>0.28953038957485377</v>
      </c>
      <c r="M85" s="107">
        <v>0</v>
      </c>
      <c r="N85" s="107">
        <v>0</v>
      </c>
      <c r="O85" s="107"/>
      <c r="P85" s="107"/>
      <c r="Q85" s="60">
        <f>Q83</f>
        <v>0</v>
      </c>
      <c r="R85" s="60">
        <f>R83</f>
        <v>5655300</v>
      </c>
      <c r="S85" s="60"/>
      <c r="T85" s="60"/>
      <c r="U85" s="60"/>
      <c r="V85" s="60"/>
      <c r="W85" s="60"/>
      <c r="X85" s="60"/>
      <c r="Y85" s="60"/>
      <c r="Z85" s="60"/>
      <c r="AA85" s="60"/>
      <c r="AB85" s="60"/>
      <c r="AC85" s="60"/>
      <c r="AD85" s="60"/>
      <c r="AE85" s="60"/>
      <c r="AF85" s="60"/>
      <c r="AG85" s="60"/>
      <c r="AH85" s="60"/>
      <c r="AI85" s="60"/>
      <c r="AJ85" s="60"/>
      <c r="AK85" s="60"/>
      <c r="AL85" s="60"/>
      <c r="AM85" s="60"/>
      <c r="AN85" s="60"/>
      <c r="AO85" s="60"/>
      <c r="AP85" s="60"/>
      <c r="AQ85" s="60"/>
      <c r="AR85" s="60"/>
      <c r="AS85" s="60"/>
      <c r="AT85" s="60"/>
      <c r="AU85" s="60"/>
      <c r="AV85" s="60"/>
      <c r="AW85" s="60"/>
      <c r="AX85" s="60"/>
      <c r="AY85" s="196"/>
      <c r="AZ85" s="196"/>
      <c r="BA85" s="196"/>
      <c r="BB85" s="196"/>
    </row>
    <row r="86" spans="1:54">
      <c r="A86" s="3"/>
      <c r="B86" s="38"/>
      <c r="C86" s="38"/>
      <c r="D86" s="57"/>
      <c r="E86" s="57"/>
      <c r="F86" s="57"/>
      <c r="G86" s="57"/>
      <c r="H86" s="57"/>
      <c r="I86" s="57"/>
      <c r="J86" s="57"/>
      <c r="K86" s="57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196"/>
      <c r="AZ86" s="196"/>
      <c r="BA86" s="196"/>
      <c r="BB86" s="196"/>
    </row>
    <row r="87" spans="1:54">
      <c r="A87" s="3"/>
      <c r="B87" s="38"/>
      <c r="C87" s="321"/>
      <c r="D87" s="321"/>
      <c r="E87" s="57"/>
      <c r="F87" s="57"/>
      <c r="G87" s="119" t="s">
        <v>91</v>
      </c>
      <c r="H87" s="57"/>
      <c r="J87" s="227">
        <f>+AW28</f>
        <v>5655.3</v>
      </c>
      <c r="K87" s="57"/>
      <c r="L87" s="3"/>
      <c r="M87" s="3"/>
      <c r="N87" s="3"/>
      <c r="O87" s="3"/>
      <c r="P87" s="3"/>
      <c r="Q87" s="3"/>
      <c r="R87" s="57"/>
      <c r="S87" s="57"/>
      <c r="T87" s="57"/>
      <c r="U87" s="57"/>
      <c r="V87" s="57"/>
      <c r="W87" s="57"/>
      <c r="X87" s="57"/>
      <c r="Y87" s="57"/>
      <c r="Z87" s="57"/>
      <c r="AA87" s="57"/>
      <c r="AB87" s="57"/>
      <c r="AC87" s="57"/>
      <c r="AD87" s="57"/>
      <c r="AE87" s="57"/>
      <c r="AF87" s="57"/>
      <c r="AG87" s="57"/>
      <c r="AH87" s="57"/>
      <c r="AI87" s="57"/>
      <c r="AJ87" s="57"/>
      <c r="AK87" s="57"/>
      <c r="AL87" s="57"/>
      <c r="AM87" s="57"/>
      <c r="AN87" s="57"/>
      <c r="AO87" s="57"/>
      <c r="AP87" s="57"/>
      <c r="AQ87" s="57"/>
      <c r="AR87" s="57"/>
      <c r="AS87" s="57"/>
      <c r="AT87" s="57"/>
      <c r="AU87" s="57"/>
      <c r="AV87" s="57"/>
      <c r="AW87" s="57"/>
      <c r="AX87" s="57"/>
      <c r="AY87" s="196"/>
      <c r="AZ87" s="196"/>
      <c r="BA87" s="196"/>
      <c r="BB87" s="196"/>
    </row>
    <row r="88" spans="1:54">
      <c r="A88" s="3"/>
      <c r="B88" s="38"/>
      <c r="C88" s="38"/>
      <c r="D88" s="57"/>
      <c r="E88" s="57"/>
      <c r="F88" s="57"/>
      <c r="G88" s="57"/>
      <c r="H88" s="57"/>
      <c r="I88" s="57"/>
      <c r="J88" s="57"/>
      <c r="K88" s="57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196"/>
      <c r="AZ88" s="196"/>
      <c r="BA88" s="196"/>
      <c r="BB88" s="196"/>
    </row>
    <row r="89" spans="1:54">
      <c r="A89" s="3"/>
      <c r="B89" s="38"/>
      <c r="C89" s="38"/>
      <c r="D89" s="57"/>
      <c r="E89" s="57"/>
      <c r="F89" s="57"/>
      <c r="G89" s="57"/>
      <c r="H89" s="57"/>
      <c r="I89" s="57"/>
      <c r="J89" s="57"/>
      <c r="K89" s="57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196"/>
      <c r="AZ89" s="196"/>
      <c r="BA89" s="196"/>
      <c r="BB89" s="196"/>
    </row>
    <row r="90" spans="1:54">
      <c r="A90" s="3"/>
      <c r="B90" s="38"/>
      <c r="C90" s="38"/>
      <c r="D90" s="57"/>
      <c r="E90" s="57"/>
      <c r="F90" s="57"/>
      <c r="G90" s="57"/>
      <c r="H90" s="57"/>
      <c r="I90" s="57"/>
      <c r="J90" s="57"/>
      <c r="K90" s="57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196"/>
      <c r="AZ90" s="196"/>
      <c r="BA90" s="196"/>
      <c r="BB90" s="196"/>
    </row>
    <row r="91" spans="1:54">
      <c r="A91" s="3"/>
      <c r="B91" s="38"/>
      <c r="C91" s="38"/>
      <c r="D91" s="57"/>
      <c r="E91" s="57" t="s">
        <v>92</v>
      </c>
      <c r="F91" s="57"/>
      <c r="G91" s="57"/>
      <c r="H91" s="57"/>
      <c r="I91" s="57"/>
      <c r="J91" s="57"/>
      <c r="K91" s="57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196"/>
      <c r="AZ91" s="196"/>
      <c r="BA91" s="196"/>
      <c r="BB91" s="196"/>
    </row>
    <row r="92" spans="1:54">
      <c r="A92" s="3"/>
      <c r="B92" s="38"/>
      <c r="C92" s="38"/>
      <c r="D92" s="57"/>
      <c r="E92" s="57"/>
      <c r="F92" s="57"/>
      <c r="G92" s="57"/>
      <c r="H92" s="57"/>
      <c r="I92" s="57"/>
      <c r="J92" s="57"/>
      <c r="K92" s="57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196"/>
      <c r="AZ92" s="196"/>
      <c r="BA92" s="196"/>
      <c r="BB92" s="196"/>
    </row>
    <row r="93" spans="1:54">
      <c r="A93" s="3"/>
      <c r="B93" s="38"/>
      <c r="C93" s="38"/>
      <c r="D93" s="57"/>
      <c r="E93" s="57"/>
      <c r="F93" s="57"/>
      <c r="G93" s="57"/>
      <c r="H93" s="57"/>
      <c r="I93" s="57"/>
      <c r="J93" s="57"/>
      <c r="K93" s="57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196"/>
      <c r="AZ93" s="196"/>
      <c r="BA93" s="196"/>
      <c r="BB93" s="196"/>
    </row>
    <row r="94" spans="1:54">
      <c r="A94" s="3"/>
      <c r="B94" s="38"/>
      <c r="C94" s="38"/>
      <c r="D94" s="57"/>
      <c r="E94" s="57"/>
      <c r="F94" s="57"/>
      <c r="G94" s="57"/>
      <c r="H94" s="57"/>
      <c r="I94" s="57"/>
      <c r="J94" s="57"/>
      <c r="K94" s="57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196"/>
      <c r="AZ94" s="196"/>
      <c r="BA94" s="196"/>
      <c r="BB94" s="196"/>
    </row>
    <row r="95" spans="1:54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196"/>
      <c r="AZ95" s="196"/>
      <c r="BA95" s="196"/>
      <c r="BB95" s="196"/>
    </row>
    <row r="96" spans="1:54">
      <c r="A96" s="3"/>
      <c r="B96" s="70"/>
      <c r="C96" s="70"/>
      <c r="D96" s="57"/>
      <c r="E96" s="57"/>
      <c r="F96" s="57"/>
      <c r="G96" s="57"/>
      <c r="H96" s="57"/>
      <c r="I96" s="57"/>
      <c r="J96" s="57"/>
      <c r="K96" s="57"/>
      <c r="L96" s="3"/>
      <c r="M96" s="57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196"/>
      <c r="AZ96" s="196"/>
      <c r="BA96" s="196"/>
      <c r="BB96" s="196"/>
    </row>
    <row r="97" spans="1:54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196"/>
      <c r="AZ97" s="196"/>
      <c r="BA97" s="196"/>
      <c r="BB97" s="196"/>
    </row>
    <row r="98" spans="1:54">
      <c r="A98" s="3"/>
      <c r="B98" s="3"/>
      <c r="C98" s="3"/>
      <c r="D98" s="3"/>
      <c r="E98" s="57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196"/>
      <c r="AZ98" s="196"/>
      <c r="BA98" s="196"/>
      <c r="BB98" s="196"/>
    </row>
    <row r="99" spans="1:54">
      <c r="A99" s="3"/>
      <c r="B99" s="18"/>
      <c r="C99" s="12"/>
      <c r="D99" s="3"/>
      <c r="E99" s="3"/>
      <c r="F99" s="3"/>
      <c r="G99" s="3"/>
      <c r="H99" s="3"/>
      <c r="I99" s="3"/>
      <c r="J99" s="3"/>
      <c r="K99" s="3"/>
      <c r="L99" s="57"/>
      <c r="M99" s="94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196"/>
      <c r="AZ99" s="196"/>
      <c r="BA99" s="196"/>
      <c r="BB99" s="196"/>
    </row>
    <row r="100" spans="1:54" ht="15">
      <c r="A100" s="3"/>
      <c r="B100" s="91"/>
      <c r="C100" s="18"/>
      <c r="D100" s="3"/>
      <c r="E100" s="3"/>
      <c r="F100" s="92"/>
      <c r="G100" s="92"/>
      <c r="H100" s="92"/>
      <c r="I100" s="92"/>
      <c r="J100" s="92"/>
      <c r="K100" s="92"/>
      <c r="L100" s="92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196"/>
      <c r="AZ100" s="196"/>
      <c r="BA100" s="196"/>
      <c r="BB100" s="196"/>
    </row>
    <row r="101" spans="1:54" ht="12.75" customHeight="1">
      <c r="A101" s="3"/>
      <c r="B101" s="18"/>
      <c r="C101" s="12"/>
      <c r="D101" s="3"/>
      <c r="E101" s="92"/>
      <c r="F101" s="92"/>
      <c r="G101" s="92"/>
      <c r="H101" s="92"/>
      <c r="I101" s="92"/>
      <c r="J101" s="92"/>
      <c r="K101" s="92"/>
      <c r="L101" s="92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196"/>
      <c r="AZ101" s="196"/>
      <c r="BA101" s="196"/>
      <c r="BB101" s="196"/>
    </row>
    <row r="102" spans="1:54" ht="12.75" customHeight="1">
      <c r="A102" s="3"/>
      <c r="B102" s="18"/>
      <c r="C102" s="12"/>
      <c r="D102" s="3"/>
      <c r="E102" s="92"/>
      <c r="F102" s="92"/>
      <c r="G102" s="92"/>
      <c r="H102" s="92"/>
      <c r="I102" s="92"/>
      <c r="J102" s="92"/>
      <c r="K102" s="92"/>
      <c r="L102" s="92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196"/>
      <c r="AZ102" s="196"/>
      <c r="BA102" s="196"/>
      <c r="BB102" s="196"/>
    </row>
    <row r="103" spans="1:54" ht="12.75" customHeight="1">
      <c r="A103" s="3"/>
      <c r="B103" s="18"/>
      <c r="C103" s="12"/>
      <c r="D103" s="3"/>
      <c r="E103" s="92"/>
      <c r="F103" s="92"/>
      <c r="G103" s="92"/>
      <c r="H103" s="92"/>
      <c r="I103" s="92"/>
      <c r="J103" s="92"/>
      <c r="K103" s="92"/>
      <c r="L103" s="92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196"/>
      <c r="AZ103" s="196"/>
      <c r="BA103" s="196"/>
      <c r="BB103" s="196"/>
    </row>
    <row r="104" spans="1:54">
      <c r="A104" s="3"/>
      <c r="B104" s="18"/>
      <c r="C104" s="12"/>
      <c r="D104" s="3"/>
      <c r="E104" s="38"/>
      <c r="F104" s="3"/>
      <c r="G104" s="3"/>
      <c r="H104" s="3"/>
      <c r="I104" s="3"/>
      <c r="J104" s="3"/>
      <c r="K104" s="38"/>
      <c r="L104" s="7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196"/>
      <c r="AZ104" s="196"/>
      <c r="BA104" s="196"/>
      <c r="BB104" s="196"/>
    </row>
    <row r="105" spans="1:54">
      <c r="A105" s="3"/>
      <c r="B105" s="18"/>
      <c r="C105" s="12"/>
      <c r="D105" s="3"/>
      <c r="E105" s="38"/>
      <c r="F105" s="7"/>
      <c r="G105" s="7"/>
      <c r="H105" s="7"/>
      <c r="I105" s="7"/>
      <c r="J105" s="7"/>
      <c r="K105" s="7"/>
      <c r="L105" s="7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196"/>
      <c r="AZ105" s="196"/>
      <c r="BA105" s="196"/>
      <c r="BB105" s="196"/>
    </row>
    <row r="106" spans="1:54">
      <c r="A106" s="3"/>
      <c r="B106" s="18"/>
      <c r="C106" s="12"/>
      <c r="D106" s="3"/>
      <c r="E106" s="3"/>
      <c r="F106" s="3"/>
      <c r="G106" s="3"/>
      <c r="H106" s="3"/>
      <c r="I106" s="7"/>
      <c r="J106" s="7"/>
      <c r="K106" s="7"/>
      <c r="L106" s="7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196"/>
      <c r="AZ106" s="196"/>
      <c r="BA106" s="196"/>
      <c r="BB106" s="196"/>
    </row>
    <row r="107" spans="1:54">
      <c r="A107" s="3"/>
      <c r="B107" s="18"/>
      <c r="C107" s="12"/>
      <c r="D107" s="3"/>
      <c r="E107" s="3"/>
      <c r="F107" s="7"/>
      <c r="G107" s="3"/>
      <c r="H107" s="7"/>
      <c r="I107" s="7"/>
      <c r="J107" s="7"/>
      <c r="K107" s="7"/>
      <c r="L107" s="7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196"/>
      <c r="AZ107" s="196"/>
      <c r="BA107" s="196"/>
      <c r="BB107" s="196"/>
    </row>
    <row r="108" spans="1:54">
      <c r="A108" s="3"/>
      <c r="B108" s="18"/>
      <c r="C108" s="12"/>
      <c r="D108" s="18"/>
      <c r="E108" s="3"/>
      <c r="F108" s="7"/>
      <c r="G108" s="3"/>
      <c r="H108" s="7"/>
      <c r="I108" s="7"/>
      <c r="J108" s="7"/>
      <c r="K108" s="7"/>
      <c r="L108" s="7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196"/>
      <c r="AZ108" s="196"/>
      <c r="BA108" s="196"/>
      <c r="BB108" s="196"/>
    </row>
    <row r="109" spans="1:54">
      <c r="A109" s="3"/>
      <c r="B109" s="18"/>
      <c r="C109" s="12"/>
      <c r="D109" s="18"/>
      <c r="E109" s="12"/>
      <c r="F109" s="7"/>
      <c r="G109" s="3"/>
      <c r="H109" s="7"/>
      <c r="I109" s="7"/>
      <c r="J109" s="7"/>
      <c r="K109" s="7"/>
      <c r="L109" s="7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196"/>
      <c r="AZ109" s="196"/>
      <c r="BA109" s="196"/>
      <c r="BB109" s="196"/>
    </row>
    <row r="110" spans="1:54">
      <c r="A110" s="3"/>
      <c r="B110" s="18"/>
      <c r="C110" s="12"/>
      <c r="D110" s="18"/>
      <c r="E110" s="12"/>
      <c r="F110" s="7"/>
      <c r="G110" s="3"/>
      <c r="H110" s="7"/>
      <c r="I110" s="7"/>
      <c r="J110" s="7"/>
      <c r="K110" s="7"/>
      <c r="L110" s="7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196"/>
      <c r="AZ110" s="196"/>
      <c r="BA110" s="196"/>
      <c r="BB110" s="196"/>
    </row>
    <row r="111" spans="1:54">
      <c r="A111" s="3"/>
      <c r="B111" s="18"/>
      <c r="C111" s="12"/>
      <c r="D111" s="18"/>
      <c r="E111" s="12"/>
      <c r="F111" s="7"/>
      <c r="G111" s="3"/>
      <c r="H111" s="7"/>
      <c r="I111" s="7"/>
      <c r="J111" s="7"/>
      <c r="K111" s="7"/>
      <c r="L111" s="7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196"/>
      <c r="AZ111" s="196"/>
      <c r="BA111" s="196"/>
      <c r="BB111" s="196"/>
    </row>
    <row r="112" spans="1:54">
      <c r="A112" s="3"/>
      <c r="B112" s="18"/>
      <c r="C112" s="12"/>
      <c r="D112" s="18"/>
      <c r="E112" s="12"/>
      <c r="F112" s="7"/>
      <c r="G112" s="3"/>
      <c r="H112" s="7"/>
      <c r="I112" s="7"/>
      <c r="J112" s="7"/>
      <c r="K112" s="7"/>
      <c r="L112" s="7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196"/>
      <c r="AZ112" s="196"/>
      <c r="BA112" s="196"/>
      <c r="BB112" s="196"/>
    </row>
    <row r="113" spans="1:54">
      <c r="A113" s="3"/>
      <c r="B113" s="18"/>
      <c r="C113" s="12"/>
      <c r="D113" s="18"/>
      <c r="E113" s="12"/>
      <c r="F113" s="7"/>
      <c r="G113" s="3"/>
      <c r="H113" s="7"/>
      <c r="I113" s="7"/>
      <c r="J113" s="7"/>
      <c r="K113" s="12"/>
      <c r="L113" s="7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196"/>
      <c r="AZ113" s="196"/>
      <c r="BA113" s="196"/>
      <c r="BB113" s="196"/>
    </row>
    <row r="114" spans="1:54">
      <c r="A114" s="3"/>
      <c r="B114" s="18"/>
      <c r="C114" s="12"/>
      <c r="D114" s="18"/>
      <c r="E114" s="12"/>
      <c r="F114" s="7"/>
      <c r="G114" s="3"/>
      <c r="H114" s="7"/>
      <c r="I114" s="7"/>
      <c r="J114" s="7"/>
      <c r="K114" s="7"/>
      <c r="L114" s="7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196"/>
      <c r="AZ114" s="196"/>
      <c r="BA114" s="196"/>
      <c r="BB114" s="196"/>
    </row>
    <row r="115" spans="1:54">
      <c r="A115" s="3"/>
      <c r="B115" s="18"/>
      <c r="C115" s="12"/>
      <c r="D115" s="18"/>
      <c r="E115" s="12"/>
      <c r="F115" s="7"/>
      <c r="G115" s="3"/>
      <c r="H115" s="7"/>
      <c r="I115" s="7"/>
      <c r="J115" s="7"/>
      <c r="K115" s="7"/>
      <c r="L115" s="7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196"/>
      <c r="AZ115" s="196"/>
      <c r="BA115" s="196"/>
      <c r="BB115" s="196"/>
    </row>
    <row r="116" spans="1:54">
      <c r="A116" s="3"/>
      <c r="B116" s="18"/>
      <c r="C116" s="12"/>
      <c r="D116" s="18"/>
      <c r="E116" s="12"/>
      <c r="F116" s="7"/>
      <c r="G116" s="3"/>
      <c r="H116" s="7"/>
      <c r="I116" s="7"/>
      <c r="J116" s="7"/>
      <c r="K116" s="7"/>
      <c r="L116" s="7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196"/>
      <c r="AZ116" s="196"/>
      <c r="BA116" s="196"/>
      <c r="BB116" s="196"/>
    </row>
    <row r="117" spans="1:54">
      <c r="A117" s="3"/>
      <c r="B117" s="18"/>
      <c r="C117" s="12"/>
      <c r="D117" s="18"/>
      <c r="E117" s="12"/>
      <c r="F117" s="7"/>
      <c r="G117" s="3"/>
      <c r="H117" s="7"/>
      <c r="I117" s="7"/>
      <c r="J117" s="7"/>
      <c r="K117" s="7"/>
      <c r="L117" s="7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196"/>
      <c r="AZ117" s="196"/>
      <c r="BA117" s="196"/>
      <c r="BB117" s="196"/>
    </row>
    <row r="118" spans="1:54">
      <c r="A118" s="3"/>
      <c r="B118" s="18"/>
      <c r="C118" s="12"/>
      <c r="D118" s="18"/>
      <c r="E118" s="12"/>
      <c r="F118" s="7"/>
      <c r="G118" s="3"/>
      <c r="H118" s="7"/>
      <c r="I118" s="7"/>
      <c r="J118" s="7"/>
      <c r="K118" s="7"/>
      <c r="L118" s="7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196"/>
      <c r="AZ118" s="196"/>
      <c r="BA118" s="196"/>
      <c r="BB118" s="196"/>
    </row>
    <row r="119" spans="1:54">
      <c r="A119" s="3"/>
      <c r="B119" s="18"/>
      <c r="C119" s="12"/>
      <c r="D119" s="18"/>
      <c r="E119" s="12"/>
      <c r="F119" s="7"/>
      <c r="G119" s="3"/>
      <c r="H119" s="7"/>
      <c r="I119" s="7"/>
      <c r="J119" s="7"/>
      <c r="K119" s="7"/>
      <c r="L119" s="7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196"/>
      <c r="AZ119" s="196"/>
      <c r="BA119" s="196"/>
      <c r="BB119" s="196"/>
    </row>
    <row r="120" spans="1:54">
      <c r="A120" s="3"/>
      <c r="B120" s="18"/>
      <c r="C120" s="12"/>
      <c r="D120" s="18"/>
      <c r="E120" s="12"/>
      <c r="F120" s="7"/>
      <c r="G120" s="3"/>
      <c r="H120" s="7"/>
      <c r="I120" s="7"/>
      <c r="J120" s="7"/>
      <c r="K120" s="7"/>
      <c r="L120" s="7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BA120" s="196"/>
      <c r="BB120" s="196"/>
    </row>
    <row r="121" spans="1:54">
      <c r="A121" s="3"/>
      <c r="B121" s="18"/>
      <c r="C121" s="12"/>
      <c r="D121" s="18"/>
      <c r="E121" s="12"/>
      <c r="F121" s="7"/>
      <c r="G121" s="3"/>
      <c r="H121" s="7"/>
      <c r="I121" s="7"/>
      <c r="J121" s="7"/>
      <c r="K121" s="7"/>
      <c r="L121" s="7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196"/>
      <c r="AZ121" s="196"/>
      <c r="BA121" s="196"/>
      <c r="BB121" s="196"/>
    </row>
    <row r="122" spans="1:54">
      <c r="A122" s="3"/>
      <c r="B122" s="18"/>
      <c r="C122" s="12"/>
      <c r="D122" s="18"/>
      <c r="E122" s="12"/>
      <c r="F122" s="7"/>
      <c r="G122" s="3"/>
      <c r="H122" s="7"/>
      <c r="I122" s="7"/>
      <c r="J122" s="7"/>
      <c r="K122" s="7"/>
      <c r="L122" s="7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196"/>
      <c r="AZ122" s="196"/>
      <c r="BA122" s="196"/>
      <c r="BB122" s="196"/>
    </row>
    <row r="123" spans="1:54">
      <c r="A123" s="3"/>
      <c r="B123" s="18"/>
      <c r="C123" s="12"/>
      <c r="D123" s="3"/>
      <c r="E123" s="12"/>
      <c r="F123" s="322" t="s">
        <v>93</v>
      </c>
      <c r="G123" s="322"/>
      <c r="H123" s="322"/>
      <c r="I123" s="322"/>
      <c r="J123" s="322"/>
      <c r="K123" s="322"/>
      <c r="L123" s="322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196"/>
      <c r="AZ123" s="196"/>
      <c r="BA123" s="196"/>
      <c r="BB123" s="196"/>
    </row>
    <row r="124" spans="1:54">
      <c r="A124" s="3"/>
      <c r="C124" s="12"/>
      <c r="D124" s="7"/>
      <c r="E124" s="12"/>
      <c r="F124" s="322"/>
      <c r="G124" s="322"/>
      <c r="H124" s="322"/>
      <c r="I124" s="322"/>
      <c r="J124" s="322"/>
      <c r="K124" s="322"/>
      <c r="L124" s="322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196"/>
      <c r="AZ124" s="196"/>
      <c r="BA124" s="196"/>
      <c r="BB124" s="196"/>
    </row>
    <row r="125" spans="1:54" ht="15">
      <c r="A125" s="3"/>
      <c r="B125" s="112" t="s">
        <v>28</v>
      </c>
      <c r="C125" s="113" t="s">
        <v>30</v>
      </c>
      <c r="D125" s="7"/>
      <c r="E125" s="36" t="s">
        <v>94</v>
      </c>
      <c r="F125" s="255"/>
      <c r="G125" s="255"/>
      <c r="H125" s="255"/>
      <c r="I125" s="255"/>
      <c r="J125" s="255"/>
      <c r="K125" s="255"/>
      <c r="L125" s="255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196"/>
      <c r="AZ125" s="196"/>
      <c r="BA125" s="196"/>
      <c r="BB125" s="196"/>
    </row>
    <row r="126" spans="1:54">
      <c r="A126" s="3"/>
      <c r="B126" s="18">
        <v>1986</v>
      </c>
      <c r="C126" s="186">
        <v>1211.4000000000001</v>
      </c>
      <c r="D126" s="3"/>
      <c r="E126" s="36"/>
      <c r="F126" s="3"/>
      <c r="G126" s="7"/>
      <c r="H126" s="7"/>
      <c r="I126" s="7"/>
      <c r="J126" s="7"/>
      <c r="K126" s="7"/>
      <c r="L126" s="7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196"/>
      <c r="AZ126" s="196"/>
      <c r="BA126" s="196"/>
      <c r="BB126" s="196"/>
    </row>
    <row r="127" spans="1:54">
      <c r="A127" s="3"/>
      <c r="B127" s="18">
        <v>1987</v>
      </c>
      <c r="C127" s="186">
        <v>2100</v>
      </c>
      <c r="D127" s="3"/>
      <c r="E127" s="7"/>
      <c r="F127" s="3"/>
      <c r="G127" s="7"/>
      <c r="H127" s="7"/>
      <c r="I127" s="7"/>
      <c r="J127" s="7"/>
      <c r="K127" s="7"/>
      <c r="L127" s="7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196"/>
      <c r="AZ127" s="196"/>
      <c r="BA127" s="196"/>
      <c r="BB127" s="196"/>
    </row>
    <row r="128" spans="1:54">
      <c r="A128" s="3"/>
      <c r="B128" s="18">
        <v>1988</v>
      </c>
      <c r="C128" s="186">
        <v>117</v>
      </c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196"/>
      <c r="AZ128" s="196"/>
    </row>
    <row r="129" spans="1:52">
      <c r="A129" s="3"/>
      <c r="B129" s="18">
        <v>1989</v>
      </c>
      <c r="C129" s="186">
        <v>21</v>
      </c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196"/>
      <c r="AZ129" s="196"/>
    </row>
    <row r="130" spans="1:52">
      <c r="A130" s="3"/>
      <c r="B130" s="18">
        <v>1990</v>
      </c>
      <c r="C130" s="186">
        <v>552</v>
      </c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196"/>
      <c r="AZ130" s="196"/>
    </row>
    <row r="131" spans="1:52">
      <c r="A131" s="3"/>
      <c r="B131" s="18">
        <v>1991</v>
      </c>
      <c r="C131" s="186">
        <v>0</v>
      </c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196"/>
      <c r="AZ131" s="196"/>
    </row>
    <row r="132" spans="1:52">
      <c r="A132" s="3"/>
      <c r="B132" s="91">
        <v>1992</v>
      </c>
      <c r="C132" s="186">
        <v>773</v>
      </c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196"/>
      <c r="AZ132" s="196"/>
    </row>
    <row r="133" spans="1:52">
      <c r="A133" s="3"/>
      <c r="B133" s="91">
        <v>1993</v>
      </c>
      <c r="C133" s="186">
        <v>1113.83</v>
      </c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196"/>
      <c r="AZ133" s="196"/>
    </row>
    <row r="134" spans="1:52">
      <c r="A134" s="3"/>
      <c r="B134" s="91">
        <v>1994</v>
      </c>
      <c r="C134" s="186">
        <v>15787</v>
      </c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196"/>
      <c r="AZ134" s="196"/>
    </row>
    <row r="135" spans="1:52">
      <c r="A135" s="3"/>
      <c r="B135" s="91">
        <v>1995</v>
      </c>
      <c r="C135" s="186">
        <v>23805</v>
      </c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196"/>
      <c r="AZ135" s="196"/>
    </row>
    <row r="136" spans="1:52">
      <c r="A136" s="3"/>
      <c r="B136" s="91">
        <v>1996</v>
      </c>
      <c r="C136" s="186">
        <v>14055</v>
      </c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196"/>
      <c r="AZ136" s="196"/>
    </row>
    <row r="137" spans="1:52">
      <c r="A137" s="3"/>
      <c r="B137" s="91">
        <v>1997</v>
      </c>
      <c r="C137" s="186">
        <v>11659</v>
      </c>
      <c r="D137" s="114" t="s">
        <v>95</v>
      </c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196"/>
      <c r="AZ137" s="196"/>
    </row>
    <row r="138" spans="1:52">
      <c r="A138" s="3"/>
      <c r="B138" s="91">
        <v>1998</v>
      </c>
      <c r="C138" s="186">
        <v>5977.31</v>
      </c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196"/>
      <c r="AZ138" s="196"/>
    </row>
    <row r="139" spans="1:52">
      <c r="A139" s="3"/>
      <c r="B139" s="91">
        <v>1999</v>
      </c>
      <c r="C139" s="186">
        <v>3865.52</v>
      </c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196"/>
      <c r="AZ139" s="196"/>
    </row>
    <row r="140" spans="1:52">
      <c r="A140" s="3"/>
      <c r="B140" s="91">
        <v>2000</v>
      </c>
      <c r="C140" s="186">
        <v>2678.9</v>
      </c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AY140" s="196"/>
      <c r="AZ140" s="196"/>
    </row>
    <row r="141" spans="1:52">
      <c r="A141" s="3"/>
      <c r="B141" s="91">
        <v>2001</v>
      </c>
      <c r="C141" s="186">
        <v>8035.24</v>
      </c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196"/>
      <c r="AZ141" s="196"/>
    </row>
    <row r="142" spans="1:52">
      <c r="A142" s="3"/>
      <c r="B142" s="91">
        <v>2002</v>
      </c>
      <c r="C142" s="186">
        <v>4961.4799999999996</v>
      </c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196"/>
      <c r="AZ142" s="196"/>
    </row>
    <row r="143" spans="1:52">
      <c r="A143" s="3"/>
      <c r="B143" s="91">
        <v>2003</v>
      </c>
      <c r="C143" s="186">
        <v>17825.240000000002</v>
      </c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196"/>
      <c r="AZ143" s="196"/>
    </row>
    <row r="144" spans="1:52">
      <c r="A144" s="3"/>
      <c r="B144" s="91">
        <v>2004</v>
      </c>
      <c r="C144" s="186">
        <v>17818.8</v>
      </c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196"/>
      <c r="AZ144" s="196"/>
    </row>
    <row r="145" spans="1:52">
      <c r="A145" s="3"/>
      <c r="B145" s="91">
        <v>2005</v>
      </c>
      <c r="C145" s="187">
        <v>18093.13</v>
      </c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196"/>
      <c r="AZ145" s="196"/>
    </row>
    <row r="146" spans="1:52">
      <c r="A146" s="3"/>
      <c r="B146" s="91">
        <v>2006</v>
      </c>
      <c r="C146" s="187">
        <v>12070.68</v>
      </c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196"/>
      <c r="AZ146" s="196"/>
    </row>
    <row r="147" spans="1:52">
      <c r="A147" s="3"/>
      <c r="B147" s="91">
        <f>+B146+1</f>
        <v>2007</v>
      </c>
      <c r="C147" s="187">
        <f>+U28</f>
        <v>13529.750000000002</v>
      </c>
      <c r="D147" s="3"/>
      <c r="E147" s="125" t="s">
        <v>92</v>
      </c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196"/>
      <c r="AZ147" s="196"/>
    </row>
    <row r="148" spans="1:52">
      <c r="A148" s="3"/>
      <c r="B148" s="91">
        <f>+B147+1</f>
        <v>2008</v>
      </c>
      <c r="C148" s="187">
        <v>9878.8799999999992</v>
      </c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196"/>
      <c r="AZ148" s="196"/>
    </row>
    <row r="149" spans="1:52">
      <c r="A149" s="3"/>
      <c r="B149" s="91">
        <v>2009</v>
      </c>
      <c r="C149" s="188">
        <f>+Y28</f>
        <v>8242.5700000000015</v>
      </c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AY149" s="196"/>
      <c r="AZ149" s="196"/>
    </row>
    <row r="150" spans="1:52">
      <c r="A150" s="3"/>
      <c r="B150" s="91">
        <v>2010</v>
      </c>
      <c r="C150" s="187">
        <f>+AA28</f>
        <v>11196.960000000001</v>
      </c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196"/>
      <c r="AZ150" s="196"/>
    </row>
    <row r="151" spans="1:52">
      <c r="A151" s="3"/>
      <c r="B151" s="91">
        <v>2011</v>
      </c>
      <c r="C151" s="188">
        <f>+AC28</f>
        <v>9620.8799999999992</v>
      </c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196"/>
      <c r="AZ151" s="196"/>
    </row>
    <row r="152" spans="1:52">
      <c r="A152" s="3"/>
      <c r="B152" s="91">
        <v>2012</v>
      </c>
      <c r="C152" s="187">
        <f>AA28</f>
        <v>11196.960000000001</v>
      </c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196"/>
      <c r="AZ152" s="196"/>
    </row>
    <row r="153" spans="1:52">
      <c r="A153" s="3"/>
      <c r="B153" s="91">
        <v>2013</v>
      </c>
      <c r="C153" s="187">
        <f>AG28</f>
        <v>7618.9299999999994</v>
      </c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196"/>
      <c r="AZ153" s="196"/>
    </row>
    <row r="154" spans="1:52">
      <c r="A154" s="3"/>
      <c r="B154" s="91">
        <v>2014</v>
      </c>
      <c r="C154" s="187">
        <f>AI28</f>
        <v>6964.68</v>
      </c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AY154" s="196"/>
      <c r="AZ154" s="196"/>
    </row>
    <row r="155" spans="1:52">
      <c r="A155" s="3"/>
      <c r="B155" s="91">
        <v>2015</v>
      </c>
      <c r="C155" s="187">
        <f>AK28</f>
        <v>3235.5399999999995</v>
      </c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196"/>
      <c r="AZ155" s="196"/>
    </row>
    <row r="156" spans="1:52">
      <c r="A156" s="3"/>
      <c r="B156" s="91">
        <v>2016</v>
      </c>
      <c r="C156" s="187">
        <f>AM28</f>
        <v>2683.7099999999996</v>
      </c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196"/>
      <c r="AZ156" s="196"/>
    </row>
    <row r="157" spans="1:52">
      <c r="A157" s="3"/>
      <c r="B157" s="194">
        <v>2017</v>
      </c>
      <c r="C157" s="195">
        <f>AO28</f>
        <v>3323.79</v>
      </c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196"/>
      <c r="AZ157" s="196"/>
    </row>
    <row r="158" spans="1:52">
      <c r="A158" s="3"/>
      <c r="B158" s="91">
        <v>2018</v>
      </c>
      <c r="C158" s="195">
        <f>AQ28</f>
        <v>4035.24</v>
      </c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AY158" s="196"/>
      <c r="AZ158" s="196"/>
    </row>
    <row r="159" spans="1:52">
      <c r="A159" s="3"/>
      <c r="B159" s="91">
        <v>2019</v>
      </c>
      <c r="C159" s="195">
        <f>AS28</f>
        <v>5736.75</v>
      </c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  <c r="AY159" s="196"/>
      <c r="AZ159" s="196"/>
    </row>
    <row r="160" spans="1:52">
      <c r="A160" s="3"/>
      <c r="B160" s="91">
        <v>2020</v>
      </c>
      <c r="C160" s="195">
        <f>AU28</f>
        <v>4385.5500000000011</v>
      </c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AX160" s="3"/>
      <c r="AY160" s="196"/>
      <c r="AZ160" s="196"/>
    </row>
    <row r="161" spans="1:52">
      <c r="A161" s="3"/>
      <c r="B161" s="91">
        <v>2021</v>
      </c>
      <c r="C161" s="195">
        <f>AW28</f>
        <v>5655.3</v>
      </c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AX161" s="3"/>
      <c r="AY161" s="196"/>
      <c r="AZ161" s="196"/>
    </row>
    <row r="162" spans="1:52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3"/>
      <c r="AW162" s="3"/>
      <c r="AX162" s="3"/>
      <c r="AY162" s="196"/>
      <c r="AZ162" s="196"/>
    </row>
    <row r="163" spans="1:52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AX163" s="3"/>
      <c r="AY163" s="196"/>
      <c r="AZ163" s="196"/>
    </row>
    <row r="164" spans="1:52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3"/>
      <c r="AW164" s="3"/>
      <c r="AX164" s="3"/>
      <c r="AY164" s="196"/>
      <c r="AZ164" s="196"/>
    </row>
    <row r="165" spans="1:52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3"/>
      <c r="AW165" s="3"/>
      <c r="AX165" s="3"/>
      <c r="AY165" s="196"/>
      <c r="AZ165" s="196"/>
    </row>
    <row r="166" spans="1:52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  <c r="AW166" s="3"/>
      <c r="AX166" s="3"/>
      <c r="AY166" s="196"/>
      <c r="AZ166" s="196"/>
    </row>
    <row r="167" spans="1:52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3"/>
      <c r="AW167" s="3"/>
      <c r="AX167" s="3"/>
      <c r="AY167" s="196"/>
      <c r="AZ167" s="196"/>
    </row>
    <row r="168" spans="1:52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3"/>
      <c r="AW168" s="3"/>
      <c r="AX168" s="3"/>
      <c r="AY168" s="196"/>
      <c r="AZ168" s="196"/>
    </row>
    <row r="169" spans="1:52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3"/>
      <c r="AW169" s="3"/>
      <c r="AX169" s="3"/>
      <c r="AY169" s="196"/>
      <c r="AZ169" s="196"/>
    </row>
    <row r="170" spans="1:52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3"/>
      <c r="AW170" s="3"/>
      <c r="AX170" s="3"/>
      <c r="AY170" s="196"/>
      <c r="AZ170" s="196"/>
    </row>
    <row r="171" spans="1:52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3"/>
      <c r="AW171" s="3"/>
      <c r="AX171" s="3"/>
      <c r="AY171" s="196"/>
      <c r="AZ171" s="196"/>
    </row>
    <row r="172" spans="1:52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  <c r="AW172" s="3"/>
      <c r="AX172" s="3"/>
      <c r="AY172" s="196"/>
      <c r="AZ172" s="196"/>
    </row>
    <row r="173" spans="1:52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3"/>
      <c r="AW173" s="3"/>
      <c r="AX173" s="3"/>
      <c r="AY173" s="196"/>
      <c r="AZ173" s="196"/>
    </row>
    <row r="174" spans="1:52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3"/>
      <c r="AW174" s="3"/>
      <c r="AX174" s="3"/>
      <c r="AY174" s="196"/>
      <c r="AZ174" s="196"/>
    </row>
    <row r="175" spans="1:52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3"/>
      <c r="AW175" s="3"/>
      <c r="AX175" s="3"/>
      <c r="AY175" s="196"/>
      <c r="AZ175" s="196"/>
    </row>
    <row r="176" spans="1:52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3"/>
      <c r="AW176" s="3"/>
      <c r="AX176" s="3"/>
      <c r="AY176" s="196"/>
      <c r="AZ176" s="196"/>
    </row>
    <row r="177" spans="1:52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3"/>
      <c r="AW177" s="3"/>
      <c r="AX177" s="3"/>
      <c r="AY177" s="196"/>
      <c r="AZ177" s="196"/>
    </row>
    <row r="178" spans="1:52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3"/>
      <c r="AW178" s="3"/>
      <c r="AX178" s="3"/>
      <c r="AY178" s="196"/>
      <c r="AZ178" s="196"/>
    </row>
    <row r="179" spans="1:52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3"/>
      <c r="AW179" s="3"/>
      <c r="AX179" s="3"/>
      <c r="AY179" s="196"/>
      <c r="AZ179" s="196"/>
    </row>
    <row r="180" spans="1:52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3"/>
      <c r="AW180" s="3"/>
      <c r="AX180" s="3"/>
    </row>
  </sheetData>
  <mergeCells count="46">
    <mergeCell ref="AU11:AV11"/>
    <mergeCell ref="AS11:AT11"/>
    <mergeCell ref="AQ11:AR11"/>
    <mergeCell ref="AI11:AJ11"/>
    <mergeCell ref="AC11:AD11"/>
    <mergeCell ref="AE11:AF11"/>
    <mergeCell ref="AG11:AH11"/>
    <mergeCell ref="AK11:AL11"/>
    <mergeCell ref="AM11:AN11"/>
    <mergeCell ref="AO11:AP11"/>
    <mergeCell ref="K68:N68"/>
    <mergeCell ref="Q68:AR68"/>
    <mergeCell ref="Q11:R11"/>
    <mergeCell ref="E66:L66"/>
    <mergeCell ref="U11:V11"/>
    <mergeCell ref="W11:X11"/>
    <mergeCell ref="C68:F68"/>
    <mergeCell ref="AA11:AB11"/>
    <mergeCell ref="Y11:Z11"/>
    <mergeCell ref="S11:T11"/>
    <mergeCell ref="R69:R70"/>
    <mergeCell ref="K69:K70"/>
    <mergeCell ref="L69:L70"/>
    <mergeCell ref="M69:M70"/>
    <mergeCell ref="N69:N70"/>
    <mergeCell ref="C69:C70"/>
    <mergeCell ref="D69:D70"/>
    <mergeCell ref="E69:E70"/>
    <mergeCell ref="F69:F70"/>
    <mergeCell ref="Q69:Q70"/>
    <mergeCell ref="AW11:AX11"/>
    <mergeCell ref="AY11:AY12"/>
    <mergeCell ref="C87:D87"/>
    <mergeCell ref="F123:L124"/>
    <mergeCell ref="G11:H11"/>
    <mergeCell ref="O11:P11"/>
    <mergeCell ref="I11:J11"/>
    <mergeCell ref="M11:N11"/>
    <mergeCell ref="K11:L11"/>
    <mergeCell ref="C11:D11"/>
    <mergeCell ref="E11:F11"/>
    <mergeCell ref="G68:J68"/>
    <mergeCell ref="G69:G70"/>
    <mergeCell ref="H69:H70"/>
    <mergeCell ref="I69:I70"/>
    <mergeCell ref="J69:J70"/>
  </mergeCells>
  <phoneticPr fontId="0" type="noConversion"/>
  <printOptions horizontalCentered="1"/>
  <pageMargins left="0.19685039370078741" right="0.75" top="1.26" bottom="1" header="0" footer="0"/>
  <pageSetup paperSize="9" scale="24" orientation="landscape" horizontalDpi="4294967293" verticalDpi="300" r:id="rId1"/>
  <headerFooter alignWithMargins="0"/>
  <rowBreaks count="2" manualBreakCount="2">
    <brk id="64" max="49" man="1"/>
    <brk id="105" max="50" man="1"/>
  </rowBreaks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B2:Q35"/>
  <sheetViews>
    <sheetView zoomScale="75" zoomScaleNormal="100" workbookViewId="0">
      <pane xSplit="2" ySplit="3" topLeftCell="C4" activePane="bottomRight" state="frozen"/>
      <selection pane="bottomRight" activeCell="O37" sqref="O37"/>
      <selection pane="bottomLeft" activeCell="I66" sqref="I66"/>
      <selection pane="topRight" activeCell="I66" sqref="I66"/>
    </sheetView>
  </sheetViews>
  <sheetFormatPr defaultColWidth="9.140625" defaultRowHeight="12.75"/>
  <cols>
    <col min="1" max="1" width="3.85546875" customWidth="1"/>
    <col min="2" max="2" width="20.7109375" customWidth="1"/>
    <col min="3" max="3" width="12.85546875" bestFit="1" customWidth="1"/>
    <col min="4" max="4" width="12.7109375" bestFit="1" customWidth="1"/>
    <col min="5" max="10" width="11.42578125" customWidth="1"/>
    <col min="11" max="11" width="11.85546875" bestFit="1" customWidth="1"/>
    <col min="12" max="12" width="11.7109375" bestFit="1" customWidth="1"/>
    <col min="13" max="13" width="11.42578125" customWidth="1"/>
    <col min="14" max="14" width="12.5703125" bestFit="1" customWidth="1"/>
    <col min="15" max="15" width="12.85546875" bestFit="1" customWidth="1"/>
    <col min="16" max="16" width="11.42578125" customWidth="1"/>
    <col min="17" max="17" width="12.7109375" bestFit="1" customWidth="1"/>
    <col min="18" max="256" width="11.42578125" customWidth="1"/>
  </cols>
  <sheetData>
    <row r="2" spans="2:17">
      <c r="C2" s="332" t="s">
        <v>96</v>
      </c>
      <c r="D2" s="333"/>
      <c r="E2" s="333"/>
      <c r="F2" s="333"/>
      <c r="G2" s="333"/>
      <c r="H2" s="333"/>
      <c r="I2" s="333"/>
      <c r="J2" s="333"/>
      <c r="K2" s="333"/>
      <c r="L2" s="333"/>
      <c r="M2" s="333"/>
      <c r="N2" s="333"/>
      <c r="O2" s="333"/>
    </row>
    <row r="3" spans="2:17">
      <c r="B3" s="256" t="s">
        <v>97</v>
      </c>
      <c r="C3" s="256" t="s">
        <v>98</v>
      </c>
      <c r="D3" s="256" t="s">
        <v>99</v>
      </c>
      <c r="E3" s="256" t="s">
        <v>100</v>
      </c>
      <c r="F3" s="256" t="s">
        <v>101</v>
      </c>
      <c r="G3" s="256" t="s">
        <v>102</v>
      </c>
      <c r="H3" s="256" t="s">
        <v>103</v>
      </c>
      <c r="I3" s="256" t="s">
        <v>104</v>
      </c>
      <c r="J3" s="256" t="s">
        <v>105</v>
      </c>
      <c r="K3" s="256" t="s">
        <v>106</v>
      </c>
      <c r="L3" s="256" t="s">
        <v>107</v>
      </c>
      <c r="M3" s="256" t="s">
        <v>108</v>
      </c>
      <c r="N3" s="256" t="s">
        <v>109</v>
      </c>
      <c r="O3" s="256"/>
    </row>
    <row r="5" spans="2:17">
      <c r="B5" s="230" t="s">
        <v>110</v>
      </c>
      <c r="C5" s="74">
        <v>32580</v>
      </c>
      <c r="D5" s="74">
        <f ca="1">SUMIF('FEB 2021'!$C$11:$F$47,'Movimiento por buque (borrador)'!B6,'FEB 2021'!$E$11:$F$47)</f>
        <v>0</v>
      </c>
      <c r="E5" s="74">
        <f ca="1">SUMIF('MAR 2021'!$C$11:$F$44,'Movimiento por buque (borrador)'!B5,'MAR 2021'!$E$11:$F$44)</f>
        <v>0</v>
      </c>
      <c r="F5" s="74">
        <f ca="1">SUMIF('ABR 2021'!$C$11:$F$48,'Movimiento por buque (borrador)'!B5,'ABR 2021'!$E$11:$F$48)</f>
        <v>0</v>
      </c>
      <c r="G5" s="74">
        <f ca="1">SUMIF('MAY 2021'!$C$11:$F$51,'Movimiento por buque (borrador)'!B5,'MAY 2021'!$E$11:$F$51)</f>
        <v>0</v>
      </c>
      <c r="H5" s="74">
        <f ca="1">SUMIF('JUN 2021'!$C$11:$F$41,'Movimiento por buque (borrador)'!B5,'JUN 2021'!$E$11:$F$41)</f>
        <v>0</v>
      </c>
      <c r="I5" s="74">
        <f ca="1">SUMIF('JUL 2021'!$C$10:$F$44,'Movimiento por buque (borrador)'!B5,'JUL 2021'!$E$10:$F$44)</f>
        <v>0</v>
      </c>
      <c r="J5" s="74">
        <f ca="1">SUMIF('AGO 2021'!$C$6:$F$44,'Movimiento por buque (borrador)'!B5,'AGO 2021'!$E$6:$F$44)</f>
        <v>0</v>
      </c>
      <c r="K5" s="74">
        <f ca="1">SUMIF('SEP 2021'!$C$11:$F$77,B5,'SEP 2021'!$E$11:$F$77)</f>
        <v>0</v>
      </c>
      <c r="L5" s="74">
        <f ca="1">SUMIF('OCT 2021'!$C$10:$F$45,B5,'OCT 2021'!$E$10:$F$45)</f>
        <v>0</v>
      </c>
      <c r="M5" s="74">
        <f ca="1">SUMIF('NOV 2021'!$D$9:$G$39,B5,'NOV 2021'!$F$9:$G$39)</f>
        <v>6750</v>
      </c>
      <c r="N5" s="74">
        <v>0</v>
      </c>
      <c r="O5" s="81">
        <f ca="1">SUM(C5:N5)</f>
        <v>39330</v>
      </c>
    </row>
    <row r="6" spans="2:17">
      <c r="B6" s="263" t="s">
        <v>111</v>
      </c>
      <c r="C6" s="74">
        <f ca="1">SUMIF('ENE 2021'!$D$11:$G$43,B6:B23,'ENE 2021'!$F$11:$G$43)</f>
        <v>0</v>
      </c>
      <c r="D6" s="74">
        <f ca="1">SUMIF('FEB 2021'!$C$11:$F$47,'Movimiento por buque (borrador)'!B7,'FEB 2021'!$E$11:$F$47)</f>
        <v>0</v>
      </c>
      <c r="E6" s="74">
        <f ca="1">SUMIF('MAR 2021'!$C$11:$F$44,'Movimiento por buque (borrador)'!B6,'MAR 2021'!$E$11:$F$44)</f>
        <v>0</v>
      </c>
      <c r="F6" s="74">
        <f ca="1">SUMIF('ABR 2021'!$C$11:$F$48,'Movimiento por buque (borrador)'!B6,'ABR 2021'!$E$11:$F$48)</f>
        <v>0</v>
      </c>
      <c r="G6" s="74">
        <f ca="1">SUMIF('MAY 2021'!$C$11:$F$51,'Movimiento por buque (borrador)'!B6,'MAY 2021'!$E$11:$F$51)</f>
        <v>0</v>
      </c>
      <c r="H6" s="74">
        <f ca="1">SUMIF('JUN 2021'!$C$11:$F$41,'Movimiento por buque (borrador)'!B6,'JUN 2021'!$E$11:$F$41)</f>
        <v>0</v>
      </c>
      <c r="I6" s="74">
        <f ca="1">SUMIF('JUL 2021'!$C$10:$F$44,'Movimiento por buque (borrador)'!B6,'JUL 2021'!$E$10:$F$44)</f>
        <v>0</v>
      </c>
      <c r="J6" s="74">
        <f ca="1">SUMIF('AGO 2021'!$C$6:$F$44,'Movimiento por buque (borrador)'!B6,'AGO 2021'!$E$6:$F$44)</f>
        <v>0</v>
      </c>
      <c r="K6" s="74">
        <v>0</v>
      </c>
      <c r="L6" s="74">
        <f ca="1">SUMIF('OCT 2021'!$C$10:$F$45,B6,'OCT 2021'!$E$10:$F$45)</f>
        <v>0</v>
      </c>
      <c r="M6" s="74">
        <f ca="1">SUMIF('NOV 2021'!$D$9:$G$39,B6,'NOV 2021'!$F$9:$G$39)</f>
        <v>0</v>
      </c>
      <c r="N6" s="74">
        <f ca="1">SUMIF('DIC 2021'!$C$9:$F$51,B6:B23,'DIC 2021'!$E$9:$F$51)</f>
        <v>100170</v>
      </c>
      <c r="O6" s="81">
        <f t="shared" ref="O6:O20" ca="1" si="0">SUM(C6:N6)</f>
        <v>100170</v>
      </c>
    </row>
    <row r="7" spans="2:17">
      <c r="B7" s="234" t="s">
        <v>112</v>
      </c>
      <c r="C7" s="74">
        <f ca="1">SUMIF('ENE 2021'!$D$11:$G$43,B7:B24,'ENE 2021'!$F$11:$G$43)</f>
        <v>0</v>
      </c>
      <c r="D7" s="74">
        <f ca="1">SUMIF('FEB 2021'!$C$11:$F$47,'Movimiento por buque (borrador)'!B8,'FEB 2021'!$E$11:$F$47)</f>
        <v>0</v>
      </c>
      <c r="E7" s="74">
        <f ca="1">SUMIF('MAR 2021'!$C$11:$F$44,'Movimiento por buque (borrador)'!B7,'MAR 2021'!$E$11:$F$44)</f>
        <v>0</v>
      </c>
      <c r="F7" s="74">
        <f ca="1">SUMIF('ABR 2021'!$C$11:$F$48,'Movimiento por buque (borrador)'!B7,'ABR 2021'!$E$11:$F$48)</f>
        <v>0</v>
      </c>
      <c r="G7" s="74">
        <f ca="1">SUMIF('MAY 2021'!$C$11:$F$51,'Movimiento por buque (borrador)'!B7,'MAY 2021'!$E$11:$F$51)</f>
        <v>0</v>
      </c>
      <c r="H7" s="74">
        <f ca="1">SUMIF('JUN 2021'!$C$11:$F$41,'Movimiento por buque (borrador)'!B7,'JUN 2021'!$E$11:$F$41)</f>
        <v>0</v>
      </c>
      <c r="I7" s="74">
        <f ca="1">SUMIF('JUL 2021'!$C$10:$F$44,'Movimiento por buque (borrador)'!B7,'JUL 2021'!$E$10:$F$44)</f>
        <v>0</v>
      </c>
      <c r="J7" s="74">
        <f ca="1">SUMIF('AGO 2021'!$C$6:$F$44,'Movimiento por buque (borrador)'!B7,'AGO 2021'!$E$6:$F$44)</f>
        <v>230730</v>
      </c>
      <c r="K7" s="74">
        <f ca="1">SUMIF('SEP 2021'!$C$11:$F$77,B7,'SEP 2021'!$E$11:$F$77)</f>
        <v>58560</v>
      </c>
      <c r="L7" s="74">
        <f ca="1">SUMIF('OCT 2021'!$C$10:$F$45,B7,'OCT 2021'!$E$10:$F$45)</f>
        <v>0</v>
      </c>
      <c r="M7" s="74">
        <f ca="1">SUMIF('NOV 2021'!$D$9:$G$39,B7,'NOV 2021'!$F$9:$G$39)</f>
        <v>0</v>
      </c>
      <c r="N7" s="74">
        <f ca="1">SUMIF('DIC 2021'!$C$9:$F$51,B7:B25,'DIC 2021'!$E$9:$F$51)</f>
        <v>0</v>
      </c>
      <c r="O7" s="81">
        <f t="shared" ca="1" si="0"/>
        <v>289290</v>
      </c>
    </row>
    <row r="8" spans="2:17">
      <c r="B8" t="s">
        <v>113</v>
      </c>
      <c r="C8" s="74">
        <f ca="1">SUMIF('ENE 2021'!$D$11:$G$43,B8:B25,'ENE 2021'!$F$11:$G$43)</f>
        <v>0</v>
      </c>
      <c r="D8" s="74">
        <f ca="1">SUMIF('FEB 2021'!$C$11:$F$47,'Movimiento por buque (borrador)'!B8,'FEB 2021'!$E$11:$F$47)</f>
        <v>0</v>
      </c>
      <c r="E8" s="74">
        <f ca="1">SUMIF('MAR 2021'!$C$11:$F$44,'Movimiento por buque (borrador)'!B8,'MAR 2021'!$E$11:$F$44)</f>
        <v>0</v>
      </c>
      <c r="F8" s="74">
        <f ca="1">SUMIF('ABR 2021'!$C$11:$F$48,'Movimiento por buque (borrador)'!B8,'ABR 2021'!$E$11:$F$48)</f>
        <v>0</v>
      </c>
      <c r="G8" s="74">
        <f ca="1">SUMIF('MAY 2021'!$C$11:$F$51,'Movimiento por buque (borrador)'!B8,'MAY 2021'!$E$11:$F$51)</f>
        <v>0</v>
      </c>
      <c r="H8" s="74">
        <f ca="1">SUMIF('JUN 2021'!$C$11:$F$41,'Movimiento por buque (borrador)'!B8,'JUN 2021'!$E$11:$F$41)</f>
        <v>0</v>
      </c>
      <c r="I8" s="74">
        <f ca="1">SUMIF('JUL 2021'!$C$10:$F$44,'Movimiento por buque (borrador)'!B8,'JUL 2021'!$E$10:$F$44)</f>
        <v>0</v>
      </c>
      <c r="J8" s="74">
        <f ca="1">SUMIF('AGO 2021'!$C$6:$F$44,'Movimiento por buque (borrador)'!B8,'AGO 2021'!$E$6:$F$44)</f>
        <v>0</v>
      </c>
      <c r="K8" s="74">
        <f ca="1">SUMIF('SEP 2021'!$C$11:$F$77,B8,'SEP 2021'!$E$11:$F$77)</f>
        <v>0</v>
      </c>
      <c r="L8" s="74">
        <f ca="1">SUMIF('OCT 2021'!$C$10:$F$45,B8,'OCT 2021'!$E$10:$F$45)</f>
        <v>0</v>
      </c>
      <c r="M8" s="74">
        <f ca="1">SUMIF('NOV 2021'!$D$9:$G$39,B8,'NOV 2021'!$F$9:$G$39)</f>
        <v>0</v>
      </c>
      <c r="N8" s="174">
        <f ca="1">SUMIF('DIC 2021'!$C$9:$F$51,B8:B26,'DIC 2021'!$E$9:$F$51)</f>
        <v>0</v>
      </c>
      <c r="O8" s="81">
        <f t="shared" ca="1" si="0"/>
        <v>0</v>
      </c>
    </row>
    <row r="9" spans="2:17">
      <c r="B9" t="s">
        <v>114</v>
      </c>
      <c r="C9" s="74">
        <f ca="1">SUMIF('ENE 2021'!$D$11:$G$43,B9:B26,'ENE 2021'!$F$11:$G$43)</f>
        <v>0</v>
      </c>
      <c r="D9" s="74">
        <f ca="1">SUMIF('FEB 2021'!$C$11:$F$47,'Movimiento por buque (borrador)'!B9,'FEB 2021'!$E$11:$F$47)</f>
        <v>0</v>
      </c>
      <c r="E9" s="74">
        <f ca="1">SUMIF('MAR 2021'!$C$11:$F$44,'Movimiento por buque (borrador)'!B9,'MAR 2021'!$E$11:$F$44)</f>
        <v>0</v>
      </c>
      <c r="F9" s="74">
        <f ca="1">SUMIF('ABR 2021'!$C$11:$F$48,'Movimiento por buque (borrador)'!B9,'ABR 2021'!$E$11:$F$48)</f>
        <v>0</v>
      </c>
      <c r="G9" s="74">
        <f ca="1">SUMIF('MAY 2021'!$C$11:$F$51,'Movimiento por buque (borrador)'!B9,'MAY 2021'!$E$11:$F$51)</f>
        <v>0</v>
      </c>
      <c r="H9" s="74">
        <f ca="1">SUMIF('JUN 2021'!$C$11:$F$41,'Movimiento por buque (borrador)'!B9,'JUN 2021'!$E$11:$F$41)</f>
        <v>0</v>
      </c>
      <c r="I9" s="74">
        <f ca="1">SUMIF('JUL 2021'!$C$10:$F$44,'Movimiento por buque (borrador)'!B9,'JUL 2021'!$E$10:$F$44)</f>
        <v>0</v>
      </c>
      <c r="J9" s="74">
        <f ca="1">SUMIF('AGO 2021'!$C$6:$F$44,'Movimiento por buque (borrador)'!B9,'AGO 2021'!$E$6:$F$44)</f>
        <v>0</v>
      </c>
      <c r="K9" s="74">
        <f ca="1">SUMIF('SEP 2021'!$C$11:$F$77,B9,'SEP 2021'!$E$11:$F$77)</f>
        <v>0</v>
      </c>
      <c r="L9" s="74">
        <f ca="1">SUMIF('OCT 2021'!$C$10:$F$45,B9,'OCT 2021'!$E$10:$F$45)</f>
        <v>0</v>
      </c>
      <c r="M9" s="74">
        <f ca="1">SUMIF('NOV 2021'!$D$9:$G$39,B9,'NOV 2021'!$F$9:$G$39)</f>
        <v>0</v>
      </c>
      <c r="N9" s="174">
        <f ca="1">SUMIF('DIC 2021'!$C$9:$F$51,B9:B27,'DIC 2021'!$E$9:$F$51)</f>
        <v>0</v>
      </c>
      <c r="O9" s="81">
        <f ca="1">SUM(C9:N9)</f>
        <v>0</v>
      </c>
    </row>
    <row r="10" spans="2:17">
      <c r="B10" s="229" t="s">
        <v>115</v>
      </c>
      <c r="C10" s="74">
        <f ca="1">SUMIF('ENE 2021'!$D$11:$G$43,B10:B27,'ENE 2021'!$F$11:$G$43)</f>
        <v>0</v>
      </c>
      <c r="D10" s="74">
        <f ca="1">SUMIF('FEB 2021'!$C$11:$F$47,'Movimiento por buque (borrador)'!B10,'FEB 2021'!$E$11:$F$47)</f>
        <v>0</v>
      </c>
      <c r="E10" s="74">
        <f ca="1">SUMIF('MAR 2021'!$C$11:$F$44,'Movimiento por buque (borrador)'!B10,'MAR 2021'!$E$11:$F$44)</f>
        <v>0</v>
      </c>
      <c r="F10" s="74">
        <f ca="1">SUMIF('ABR 2021'!$C$11:$F$48,'Movimiento por buque (borrador)'!B10,'ABR 2021'!$E$11:$F$48)</f>
        <v>0</v>
      </c>
      <c r="G10" s="74">
        <f ca="1">SUMIF('MAY 2021'!$C$11:$F$48,'Movimiento por buque (borrador)'!B10,'MAY 2021'!$E$11:$F$48)</f>
        <v>0</v>
      </c>
      <c r="H10" s="74">
        <f ca="1">SUMIF('JUN 2021'!$C$11:$F$41,'Movimiento por buque (borrador)'!B10,'JUN 2021'!$E$11:$F$41)</f>
        <v>0</v>
      </c>
      <c r="I10" s="74">
        <f ca="1">SUMIF('JUL 2021'!$C$10:$F$44,'Movimiento por buque (borrador)'!B10,'JUL 2021'!$E$10:$F$44)</f>
        <v>0</v>
      </c>
      <c r="J10" s="74">
        <f ca="1">SUMIF('AGO 2021'!$C$6:$F$44,'Movimiento por buque (borrador)'!B10,'AGO 2021'!$E$6:$F$44)</f>
        <v>0</v>
      </c>
      <c r="K10" s="74">
        <f ca="1">SUMIF('SEP 2021'!$C$11:$F$77,B10,'SEP 2021'!$E$11:$F$77)</f>
        <v>0</v>
      </c>
      <c r="L10" s="74">
        <f ca="1">SUMIF('OCT 2021'!$C$10:$F$45,B10,'OCT 2021'!$E$10:$F$45)</f>
        <v>0</v>
      </c>
      <c r="M10" s="74">
        <f ca="1">SUMIF('NOV 2021'!$D$9:$G$39,B10,'NOV 2021'!$F$9:$G$39)</f>
        <v>0</v>
      </c>
      <c r="N10" s="74">
        <f ca="1">SUMIF('DIC 2021'!$C$9:$F$25,B10,'DIC 2021'!$E$9:$F$23)</f>
        <v>135840</v>
      </c>
      <c r="O10" s="81">
        <f t="shared" ca="1" si="0"/>
        <v>135840</v>
      </c>
    </row>
    <row r="11" spans="2:17">
      <c r="B11" t="s">
        <v>116</v>
      </c>
      <c r="C11" s="74">
        <f ca="1">SUMIF('ENE 2021'!$D$11:$G$43,B11:B28,'ENE 2021'!$F$11:$G$43)</f>
        <v>0</v>
      </c>
      <c r="D11" s="74">
        <f ca="1">SUMIF('FEB 2021'!$C$11:$F$47,'Movimiento por buque (borrador)'!#REF!,'FEB 2021'!$E$11:$F$47)</f>
        <v>0</v>
      </c>
      <c r="E11" s="74">
        <f ca="1">SUMIF('MAR 2021'!$C$11:$F$44,'Movimiento por buque (borrador)'!#REF!,'MAR 2021'!$E$11:$F$44)</f>
        <v>0</v>
      </c>
      <c r="F11" s="74">
        <f ca="1">SUMIF('ABR 2021'!$C$11:$F$48,'Movimiento por buque (borrador)'!#REF!,'ABR 2021'!$E$11:$F$48)</f>
        <v>0</v>
      </c>
      <c r="G11" s="74">
        <f ca="1">SUMIF('MAY 2021'!$C$11:$F$51,'Movimiento por buque (borrador)'!#REF!,'MAY 2021'!$E$11:$F$51)</f>
        <v>0</v>
      </c>
      <c r="H11" s="74">
        <f ca="1">SUMIF('JUN 2021'!$C$11:$F$41,'Movimiento por buque (borrador)'!#REF!,'JUN 2021'!$E$11:$F$41)</f>
        <v>0</v>
      </c>
      <c r="I11" s="74">
        <f ca="1">SUMIF('JUL 2021'!$C$10:$F$44,'Movimiento por buque (borrador)'!#REF!,'JUL 2021'!$E$10:$F$44)</f>
        <v>0</v>
      </c>
      <c r="J11" s="74">
        <f ca="1">SUMIF('AGO 2021'!$C$6:$F$44,'Movimiento por buque (borrador)'!B11,'AGO 2021'!$E$6:$F$44)</f>
        <v>0</v>
      </c>
      <c r="K11" s="74">
        <f ca="1">SUMIF('SEP 2021'!$C$11:$F$77,#REF!,'SEP 2021'!$E$11:$F$77)</f>
        <v>0</v>
      </c>
      <c r="L11" s="74">
        <f ca="1">SUMIF('OCT 2021'!$C$10:$F$45,#REF!,'OCT 2021'!$E$10:$F$45)</f>
        <v>0</v>
      </c>
      <c r="M11" s="74">
        <f ca="1">SUMIF('OCT 2021'!$C$10:$F$45,B11,'OCT 2021'!$E$10:$F$45)</f>
        <v>0</v>
      </c>
      <c r="N11" s="74">
        <f ca="1">SUMIF('DIC 2021'!$C$9:$F$51,B11:B29,'DIC 2021'!$E$9:$F$51)</f>
        <v>0</v>
      </c>
      <c r="O11" s="81">
        <f t="shared" ca="1" si="0"/>
        <v>0</v>
      </c>
    </row>
    <row r="12" spans="2:17">
      <c r="B12" s="343" t="s">
        <v>117</v>
      </c>
      <c r="C12" s="343"/>
      <c r="D12" s="74">
        <f ca="1">SUMIF('FEB 2021'!$C$11:$F$47,'Movimiento por buque (borrador)'!B12,'FEB 2021'!$E$11:$F$47)</f>
        <v>0</v>
      </c>
      <c r="E12" s="74">
        <f ca="1">SUMIF('MAR 2021'!$C$11:$F$44,'Movimiento por buque (borrador)'!B12,'MAR 2021'!$E$11:$F$44)</f>
        <v>0</v>
      </c>
      <c r="F12" s="74">
        <f ca="1">SUMIF('ABR 2021'!$C$11:$F$48,'Movimiento por buque (borrador)'!B12,'ABR 2021'!$E$11:$F$48)</f>
        <v>0</v>
      </c>
      <c r="G12" s="74">
        <f ca="1">SUMIF('MAY 2021'!$C$11:$F$51,'Movimiento por buque (borrador)'!B12,'MAY 2021'!$E$11:$F$51)</f>
        <v>0</v>
      </c>
      <c r="H12" s="74">
        <f ca="1">SUMIF('JUN 2021'!$C$11:$F$41,'Movimiento por buque (borrador)'!B12,'JUN 2021'!$E$11:$F$41)</f>
        <v>0</v>
      </c>
      <c r="I12" s="74">
        <f ca="1">SUMIF('JUL 2021'!$C$10:$F$44,'Movimiento por buque (borrador)'!B12,'JUL 2021'!$E$10:$F$44)</f>
        <v>0</v>
      </c>
      <c r="J12" s="74">
        <f ca="1">SUMIF('AGO 2021'!$C$6:$F$44,'Movimiento por buque (borrador)'!B12,'AGO 2021'!$E$6:$F$44)</f>
        <v>0</v>
      </c>
      <c r="K12" s="74">
        <f ca="1">SUMIF('SEP 2021'!$C$11:$F$77,B12,'SEP 2021'!$E$11:$F$77)</f>
        <v>0</v>
      </c>
      <c r="L12" s="74">
        <f ca="1">SUMIF('OCT 2021'!$C$10:$F$45,B12,'OCT 2021'!$E$10:$F$45)</f>
        <v>0</v>
      </c>
      <c r="M12" s="74">
        <f ca="1">SUMIF('NOV 2021'!$D$9:$G$39,B12,'NOV 2021'!$F$9:$G$39)</f>
        <v>0</v>
      </c>
      <c r="N12" s="74">
        <f ca="1">SUMIF('DIC 2021'!$C$9:$F$51,B12:B41,'DIC 2021'!$E$9:$F$51)</f>
        <v>0</v>
      </c>
      <c r="O12" s="81">
        <f t="shared" ca="1" si="0"/>
        <v>0</v>
      </c>
      <c r="Q12" s="74"/>
    </row>
    <row r="13" spans="2:17">
      <c r="B13" s="116" t="s">
        <v>118</v>
      </c>
      <c r="C13" s="74">
        <v>98250</v>
      </c>
      <c r="D13" s="74">
        <f ca="1">SUMIF('FEB 2021'!$C$11:$F$47,'Movimiento por buque (borrador)'!B13,'FEB 2021'!$E$11:$F$47)</f>
        <v>214800</v>
      </c>
      <c r="E13" s="74">
        <f ca="1">SUMIF('MAR 2021'!$C$11:$F$44,'Movimiento por buque (borrador)'!B13,'MAR 2021'!$E$11:$F$44)</f>
        <v>223620</v>
      </c>
      <c r="F13" s="74">
        <f ca="1">SUMIF('ABR 2021'!$C$11:$F$48,'Movimiento por buque (borrador)'!B13,'ABR 2021'!$E$11:$F$48)</f>
        <v>177480</v>
      </c>
      <c r="G13" s="74">
        <f ca="1">SUMIF('MAY 2021'!$C$11:$F$51,'Movimiento por buque (borrador)'!B13,'MAY 2021'!$E$11:$F$51)</f>
        <v>48000</v>
      </c>
      <c r="H13" s="74">
        <f ca="1">SUMIF('JUN 2021'!$C$11:$F$41,'Movimiento por buque (borrador)'!B13,'JUN 2021'!$E$11:$F$41)</f>
        <v>0</v>
      </c>
      <c r="I13" s="74">
        <f ca="1">SUMIF('JUL 2021'!$C$10:$F$44,'Movimiento por buque (borrador)'!B13,'JUL 2021'!$E$10:$F$44)</f>
        <v>0</v>
      </c>
      <c r="J13" s="74">
        <f ca="1">SUMIF('AGO 2021'!$C$6:$F$44,'Movimiento por buque (borrador)'!B13,'AGO 2021'!$E$6:$F$44)</f>
        <v>0</v>
      </c>
      <c r="K13" s="74">
        <f ca="1">SUMIF('SEP 2021'!$C$11:$F$77,B13,'SEP 2021'!$E$11:$F$77)</f>
        <v>0</v>
      </c>
      <c r="L13" s="74">
        <f ca="1">SUMIF('OCT 2021'!$C$10:$F$45,B13,'OCT 2021'!$E$10:$F$45)</f>
        <v>0</v>
      </c>
      <c r="M13" s="74">
        <f ca="1">SUMIF('NOV 2021'!$D$9:$G$39,B13,'NOV 2021'!$F$9:$G$39)</f>
        <v>0</v>
      </c>
      <c r="N13" s="74">
        <f ca="1">SUMIF('DIC 2021'!$C$9:$F$51,B13:B29,'DIC 2021'!$E$9:$F$51)</f>
        <v>0</v>
      </c>
      <c r="O13" s="81">
        <f t="shared" ca="1" si="0"/>
        <v>762150</v>
      </c>
    </row>
    <row r="14" spans="2:17">
      <c r="B14" s="231" t="s">
        <v>119</v>
      </c>
      <c r="C14" s="74">
        <f ca="1">SUMIF('ENE 2021'!$D$11:$G$43,B14:B29,'ENE 2021'!$F$11:$G$43)</f>
        <v>424500</v>
      </c>
      <c r="D14" s="74">
        <f ca="1">SUMIF('FEB 2021'!$C$11:$F$47,'Movimiento por buque (borrador)'!B14,'FEB 2021'!$E$11:$F$47)</f>
        <v>170760</v>
      </c>
      <c r="E14" s="74">
        <f ca="1">SUMIF('MAR 2021'!$C$11:$F$44,'Movimiento por buque (borrador)'!B14,'MAR 2021'!$E$11:$F$44)</f>
        <v>195090</v>
      </c>
      <c r="F14" s="74">
        <f ca="1">SUMIF('ABR 2021'!$C$11:$F$48,'Movimiento por buque (borrador)'!B14,'ABR 2021'!$E$11:$F$48)</f>
        <v>0</v>
      </c>
      <c r="G14" s="74">
        <f ca="1">SUMIF('MAY 2021'!$C$11:$F$51,'Movimiento por buque (borrador)'!B14,'MAY 2021'!$E$11:$F$51)</f>
        <v>94350</v>
      </c>
      <c r="H14" s="74">
        <f ca="1">SUMIF('JUN 2021'!$C$11:$F$41,'Movimiento por buque (borrador)'!B14,'JUN 2021'!$E$11:$F$41)</f>
        <v>189810</v>
      </c>
      <c r="I14" s="74">
        <f ca="1">SUMIF('JUL 2021'!$C$10:$F$44,'Movimiento por buque (borrador)'!B14,'JUL 2021'!$E$10:$F$44)</f>
        <v>174180</v>
      </c>
      <c r="J14" s="74">
        <f ca="1">SUMIF('AGO 2021'!$C$6:$F$44,'Movimiento por buque (borrador)'!B14,'AGO 2021'!$E$6:$F$44)</f>
        <v>97830</v>
      </c>
      <c r="K14" s="74">
        <f ca="1">SUMIF('SEP 2021'!$C$11:$F$77,B14,'SEP 2021'!$E$11:$F$77)</f>
        <v>69210</v>
      </c>
      <c r="L14" s="74">
        <f ca="1">SUMIF('OCT 2021'!$C$10:$F$45,B14,'OCT 2021'!$E$10:$F$45)</f>
        <v>46620</v>
      </c>
      <c r="M14" s="74">
        <f ca="1">SUMIF('NOV 2021'!$D$9:$G$39,B14,'NOV 2021'!$F$9:$G$39)</f>
        <v>113100</v>
      </c>
      <c r="N14" s="74">
        <f ca="1">SUMIF('DIC 2021'!$C$9:$F$51,B14:B30,'DIC 2021'!$E$9:$F$51)</f>
        <v>23670</v>
      </c>
      <c r="O14" s="81">
        <f ca="1">SUM(C14:N14)</f>
        <v>1599120</v>
      </c>
    </row>
    <row r="15" spans="2:17">
      <c r="B15" s="302" t="s">
        <v>120</v>
      </c>
      <c r="C15" s="302"/>
      <c r="D15" s="74">
        <f ca="1">SUMIF('FEB 2021'!$C$11:$F$47,'Movimiento por buque (borrador)'!B15,'FEB 2021'!$E$11:$F$47)</f>
        <v>0</v>
      </c>
      <c r="E15" s="74">
        <f ca="1">SUMIF('MAR 2021'!$C$11:$F$44,'Movimiento por buque (borrador)'!B15,'MAR 2021'!$E$11:$F$44)</f>
        <v>0</v>
      </c>
      <c r="F15" s="74">
        <f ca="1">SUMIF('ABR 2021'!$C$11:$F$48,'Movimiento por buque (borrador)'!B15,'ABR 2021'!$E$11:$F$48)</f>
        <v>0</v>
      </c>
      <c r="G15" s="74">
        <f ca="1">SUMIF('MAY 2021'!$C$11:$F$51,'Movimiento por buque (borrador)'!B15,'MAY 2021'!$E$11:$F$51)</f>
        <v>0</v>
      </c>
      <c r="H15" s="74">
        <f ca="1">SUMIF('JUN 2021'!$C$11:$F$41,'Movimiento por buque (borrador)'!B15,'JUN 2021'!$E$11:$F$41)</f>
        <v>0</v>
      </c>
      <c r="I15" s="74">
        <f ca="1">SUMIF('JUL 2021'!$C$10:$F$44,'Movimiento por buque (borrador)'!B15,'JUL 2021'!$E$10:$F$44)</f>
        <v>0</v>
      </c>
      <c r="J15" s="74">
        <f ca="1">SUMIF('AGO 2021'!$C$6:$F$44,'Movimiento por buque (borrador)'!B15,'AGO 2021'!$E$6:$F$44)</f>
        <v>0</v>
      </c>
      <c r="K15" s="74">
        <f ca="1">SUMIF('SEP 2021'!$C$11:$F$77,B15,'SEP 2021'!$E$11:$F$77)</f>
        <v>0</v>
      </c>
      <c r="L15" s="74">
        <f ca="1">SUMIF('OCT 2021'!$C$10:$F$45,B15,'OCT 2021'!$E$10:$F$45)</f>
        <v>0</v>
      </c>
      <c r="M15" s="74">
        <f ca="1">SUMIF('NOV 2021'!$D$9:$G$39,B15,'NOV 2021'!$F$9:$G$39)</f>
        <v>0</v>
      </c>
      <c r="N15" s="74">
        <f ca="1">SUMIF('DIC 2021'!$C$9:$F$51,B15:B35,'DIC 2021'!$E$9:$F$51)</f>
        <v>0</v>
      </c>
      <c r="O15" s="81">
        <f t="shared" ca="1" si="0"/>
        <v>0</v>
      </c>
    </row>
    <row r="16" spans="2:17">
      <c r="B16" s="228" t="s">
        <v>121</v>
      </c>
      <c r="C16" s="74">
        <v>68010</v>
      </c>
      <c r="D16" s="74">
        <v>30990</v>
      </c>
      <c r="E16" s="74">
        <f ca="1">SUMIF('MAR 2021'!$C$11:$F$44,'Movimiento por buque (borrador)'!B16,'MAR 2021'!$E$11:$F$44)</f>
        <v>0</v>
      </c>
      <c r="F16" s="74">
        <f ca="1">SUMIF('ABR 2021'!$C$11:$F$48,'Movimiento por buque (borrador)'!B16,'ABR 2021'!$E$11:$F$48)</f>
        <v>0</v>
      </c>
      <c r="G16" s="74">
        <f ca="1">SUMIF('MAY 2021'!$C$11:$F$51,'Movimiento por buque (borrador)'!B16,'MAY 2021'!$E$11:$F$51)</f>
        <v>0</v>
      </c>
      <c r="H16" s="74">
        <f ca="1">SUMIF('JUN 2021'!$C$11:$F$41,'Movimiento por buque (borrador)'!B16,'JUN 2021'!$E$11:$F$41)</f>
        <v>0</v>
      </c>
      <c r="I16" s="74">
        <f ca="1">SUMIF('JUL 2021'!$C$10:$F$44,'Movimiento por buque (borrador)'!B16,'JUL 2021'!$E$10:$F$44)</f>
        <v>0</v>
      </c>
      <c r="J16" s="74">
        <f ca="1">SUMIF('AGO 2021'!$C$6:$F$44,'Movimiento por buque (borrador)'!B16,'AGO 2021'!$E$6:$F$44)</f>
        <v>0</v>
      </c>
      <c r="K16" s="74">
        <f ca="1">SUMIF('SEP 2021'!$C$11:$F$77,B16,'SEP 2021'!$E$11:$F$77)</f>
        <v>0</v>
      </c>
      <c r="L16" s="74">
        <f ca="1">SUMIF('OCT 2021'!$C$10:$F$45,B16,'OCT 2021'!$E$10:$F$45)</f>
        <v>0</v>
      </c>
      <c r="M16" s="74">
        <f ca="1">SUMIF('NOV 2021'!$D$9:$G$39,B16,'NOV 2021'!$F$9:$G$39)</f>
        <v>0</v>
      </c>
      <c r="N16" s="74">
        <f ca="1">SUMIF('DIC 2021'!$C$9:$F$51,B16:B36,'DIC 2021'!$E$9:$F$51)</f>
        <v>0</v>
      </c>
      <c r="O16" s="81">
        <f t="shared" ca="1" si="0"/>
        <v>99000</v>
      </c>
    </row>
    <row r="17" spans="2:15">
      <c r="B17" t="s">
        <v>122</v>
      </c>
      <c r="C17" s="74">
        <f ca="1">SUMIF('ENE 2021'!$D$11:$G$43,B11:B29,'ENE 2021'!$F$11:$G$43)</f>
        <v>0</v>
      </c>
      <c r="D17" s="74">
        <f ca="1">SUMIF('FEB 2021'!$C$11:$F$47,'Movimiento por buque (borrador)'!B17,'FEB 2021'!$E$11:$F$47)</f>
        <v>0</v>
      </c>
      <c r="E17" s="74">
        <f ca="1">SUMIF('MAR 2021'!$C$11:$F$44,'Movimiento por buque (borrador)'!B17,'MAR 2021'!$E$11:$F$44)</f>
        <v>0</v>
      </c>
      <c r="F17" s="74">
        <f ca="1">SUMIF('ABR 2021'!$C$11:$F$48,'Movimiento por buque (borrador)'!B17,'ABR 2021'!$E$11:$F$48)</f>
        <v>0</v>
      </c>
      <c r="G17" s="74">
        <f ca="1">SUMIF('MAY 2021'!$C$11:$F$51,'Movimiento por buque (borrador)'!B17,'MAY 2021'!$E$11:$F$51)</f>
        <v>0</v>
      </c>
      <c r="H17" s="74">
        <f ca="1">SUMIF('JUN 2021'!$C$11:$F$41,'Movimiento por buque (borrador)'!B17,'JUN 2021'!$E$11:$F$41)</f>
        <v>0</v>
      </c>
      <c r="I17" s="74">
        <f ca="1">SUMIF('JUL 2021'!$C$10:$F$44,'Movimiento por buque (borrador)'!B17,'JUL 2021'!$E$10:$F$44)</f>
        <v>0</v>
      </c>
      <c r="J17" s="74">
        <f ca="1">SUMIF('AGO 2021'!$C$6:$F$44,'Movimiento por buque (borrador)'!B17,'AGO 2021'!$E$6:$F$44)</f>
        <v>0</v>
      </c>
      <c r="K17" s="74">
        <f ca="1">SUMIF('SEP 2021'!$C$11:$F$77,B17,'SEP 2021'!$E$11:$F$77)</f>
        <v>0</v>
      </c>
      <c r="L17" s="74">
        <f ca="1">SUMIF('OCT 2021'!$C$10:$F$45,B17,'OCT 2021'!$E$10:$F$45)</f>
        <v>0</v>
      </c>
      <c r="M17" s="74">
        <f ca="1">SUMIF('NOV 2021'!$D$9:$G$39,B17,'NOV 2021'!$F$9:$G$39)</f>
        <v>0</v>
      </c>
      <c r="N17" s="74">
        <f ca="1">SUMIF('DIC 2021'!$C$9:$F$51,B17:B46,'DIC 2021'!$E$9:$F$51)</f>
        <v>0</v>
      </c>
      <c r="O17" s="81">
        <f t="shared" ca="1" si="0"/>
        <v>0</v>
      </c>
    </row>
    <row r="18" spans="2:15">
      <c r="B18" s="229" t="s">
        <v>123</v>
      </c>
      <c r="C18" s="74">
        <v>216060</v>
      </c>
      <c r="D18" s="74">
        <f ca="1">SUMIF('FEB 2021'!$C$11:$F$47,'Movimiento por buque (borrador)'!B18,'FEB 2021'!$E$11:$F$47)</f>
        <v>237840</v>
      </c>
      <c r="E18" s="74">
        <f ca="1">SUMIF('MAR 2021'!$C$11:$F$44,'Movimiento por buque (borrador)'!B18,'MAR 2021'!$E$11:$F$44)</f>
        <v>351330</v>
      </c>
      <c r="F18" s="74">
        <f ca="1">SUMIF('ABR 2021'!$C$11:$F$48,'Movimiento por buque (borrador)'!B18,'ABR 2021'!$E$11:$F$48)</f>
        <v>146250</v>
      </c>
      <c r="G18" s="74">
        <f ca="1">SUMIF('MAY 2021'!$C$11:$F$51,'Movimiento por buque (borrador)'!B18,'MAY 2021'!$E$11:$F$51)</f>
        <v>0</v>
      </c>
      <c r="H18" s="74">
        <f ca="1">SUMIF('JUN 2021'!$C$11:$F$41,'Movimiento por buque (borrador)'!B18,'JUN 2021'!$E$11:$F$41)</f>
        <v>0</v>
      </c>
      <c r="I18" s="74">
        <f ca="1">SUMIF('JUL 2021'!$C$10:$F$44,'Movimiento por buque (borrador)'!B18,'JUL 2021'!$E$10:$F$44)</f>
        <v>0</v>
      </c>
      <c r="J18" s="74">
        <f ca="1">SUMIF('AGO 2021'!$C$6:$F$44,'Movimiento por buque (borrador)'!B18,'AGO 2021'!$E$6:$F$44)</f>
        <v>147990</v>
      </c>
      <c r="K18" s="74">
        <f ca="1">SUMIF('SEP 2021'!$C$11:$F$77,B18,'SEP 2021'!$E$11:$F$77)</f>
        <v>11040</v>
      </c>
      <c r="L18" s="74">
        <f ca="1">SUMIF('OCT 2021'!$C$10:$F$45,B18,'OCT 2021'!$E$10:$F$45)</f>
        <v>0</v>
      </c>
      <c r="M18" s="74">
        <f ca="1">SUMIF('NOV 2021'!$D$9:$G$39,B18,'NOV 2021'!$F$9:$G$39)</f>
        <v>168480</v>
      </c>
      <c r="N18" s="74">
        <f ca="1">SUMIF('DIC 2021'!$C$9:$F$51,B18:B47,'DIC 2021'!$E$9:$F$51)</f>
        <v>125250</v>
      </c>
      <c r="O18" s="81">
        <f t="shared" ca="1" si="0"/>
        <v>1404240</v>
      </c>
    </row>
    <row r="19" spans="2:15">
      <c r="B19" s="228" t="s">
        <v>124</v>
      </c>
      <c r="C19" s="74">
        <v>169530</v>
      </c>
      <c r="D19" s="74">
        <f ca="1">SUMIF('FEB 2021'!$C$11:$F$47,'Movimiento por buque (borrador)'!B19,'FEB 2021'!$E$11:$F$47)</f>
        <v>65430</v>
      </c>
      <c r="E19" s="74">
        <f ca="1">SUMIF('MAR 2021'!$C$11:$F$44,'Movimiento por buque (borrador)'!B19,'MAR 2021'!$E$11:$F$44)</f>
        <v>45690</v>
      </c>
      <c r="F19" s="74">
        <f ca="1">SUMIF('ABR 2021'!$C$11:$F$48,'Movimiento por buque (borrador)'!B19,'ABR 2021'!$E$11:$F$48)</f>
        <v>0</v>
      </c>
      <c r="G19" s="74">
        <f ca="1">SUMIF('MAY 2021'!$C$11:$F$51,'Movimiento por buque (borrador)'!B19,'MAY 2021'!$E$11:$F$51)</f>
        <v>0</v>
      </c>
      <c r="H19" s="74">
        <f ca="1">SUMIF('JUN 2021'!$C$11:$F$41,'Movimiento por buque (borrador)'!B19,'JUN 2021'!$E$11:$F$41)</f>
        <v>0</v>
      </c>
      <c r="I19" s="74">
        <f ca="1">SUMIF('JUL 2021'!$C$10:$F$44,'Movimiento por buque (borrador)'!B19,'JUL 2021'!$E$10:$F$44)</f>
        <v>114090</v>
      </c>
      <c r="J19" s="74">
        <f ca="1">SUMIF('AGO 2021'!$C$6:$F$44,'Movimiento por buque (borrador)'!B19,'AGO 2021'!$E$6:$F$44)</f>
        <v>165480</v>
      </c>
      <c r="K19" s="74">
        <f ca="1">SUMIF('SEP 2021'!$C$11:$F$77,B19,'SEP 2021'!$E$11:$F$77)</f>
        <v>149580</v>
      </c>
      <c r="L19" s="74">
        <f ca="1">SUMIF('OCT 2021'!$C$10:$F$45,B19,'OCT 2021'!$E$10:$F$45)</f>
        <v>49620</v>
      </c>
      <c r="M19" s="74">
        <f ca="1">SUMIF('NOV 2021'!$D$9:$G$39,B19,'NOV 2021'!$F$9:$G$39)</f>
        <v>141570</v>
      </c>
      <c r="N19" s="74">
        <f ca="1">SUMIF('DIC 2021'!$C$9:$F$51,B19:B48,'DIC 2021'!$E$9:$F$51)</f>
        <v>0</v>
      </c>
      <c r="O19" s="81">
        <f t="shared" ca="1" si="0"/>
        <v>900990</v>
      </c>
    </row>
    <row r="20" spans="2:15">
      <c r="B20" s="260" t="s">
        <v>125</v>
      </c>
      <c r="C20" s="74">
        <f ca="1">SUMIF('ENE 2021'!$D$11:$G$43,B20:B36,'ENE 2021'!$F$11:$G$43)</f>
        <v>0</v>
      </c>
      <c r="D20" s="74">
        <f ca="1">SUMIF('FEB 2021'!$C$11:$F$47,'Movimiento por buque (borrador)'!B20,'FEB 2021'!$E$11:$F$47)</f>
        <v>0</v>
      </c>
      <c r="E20" s="74">
        <f ca="1">SUMIF('MAR 2021'!$C$11:$F$44,'Movimiento por buque (borrador)'!B20,'MAR 2021'!$E$11:$F$44)</f>
        <v>0</v>
      </c>
      <c r="F20" s="74">
        <f ca="1">SUMIF('ABR 2021'!$C$11:$F$48,'Movimiento por buque (borrador)'!B20,'ABR 2021'!$E$11:$F$48)</f>
        <v>0</v>
      </c>
      <c r="G20" s="74">
        <f ca="1">SUMIF('MAY 2021'!$C$11:$F$51,'Movimiento por buque (borrador)'!B20,'MAY 2021'!$E$11:$F$51)</f>
        <v>0</v>
      </c>
      <c r="H20" s="74">
        <f ca="1">SUMIF('JUN 2021'!$C$11:$F$41,'Movimiento por buque (borrador)'!B20,'JUN 2021'!$E$11:$F$41)</f>
        <v>0</v>
      </c>
      <c r="I20" s="74">
        <f ca="1">SUMIF('JUL 2021'!$C$10:$F$44,'Movimiento por buque (borrador)'!B20,'JUL 2021'!$E$10:$F$44)</f>
        <v>0</v>
      </c>
      <c r="J20" s="74">
        <f ca="1">SUMIF('AGO 2021'!$C$6:$F$44,'Movimiento por buque (borrador)'!B20,'AGO 2021'!$E$6:$F$44)</f>
        <v>0</v>
      </c>
      <c r="K20" s="74">
        <f ca="1">SUMIF('SEP 2021'!$C$11:$F$77,B20,'SEP 2021'!$E$11:$F$77)</f>
        <v>0</v>
      </c>
      <c r="L20" s="74">
        <f ca="1">SUMIF('OCT 2021'!$C$10:$F$45,B20,'OCT 2021'!$E$10:$F$45)</f>
        <v>0</v>
      </c>
      <c r="M20" s="74">
        <f ca="1">SUMIF('NOV 2021'!$D$9:$G$39,B20,'NOV 2021'!$F$9:$G$39)</f>
        <v>79350</v>
      </c>
      <c r="N20" s="74">
        <f ca="1">SUMIF('DIC 2021'!$C$9:$F$51,B20:B50,'DIC 2021'!$E$9:$F$51)</f>
        <v>0</v>
      </c>
      <c r="O20" s="81">
        <f t="shared" ca="1" si="0"/>
        <v>79350</v>
      </c>
    </row>
    <row r="21" spans="2:15">
      <c r="B21" s="262" t="s">
        <v>126</v>
      </c>
      <c r="C21" s="74">
        <f ca="1">SUMIF('ENE 2021'!$D$11:$G$43,B21:B37,'ENE 2021'!$F$11:$G$43)</f>
        <v>0</v>
      </c>
      <c r="D21" s="74">
        <f ca="1">SUMIF('FEB 2021'!$C$11:$F$47,'Movimiento por buque (borrador)'!B21,'FEB 2021'!$E$11:$F$47)</f>
        <v>0</v>
      </c>
      <c r="E21" s="74">
        <f ca="1">SUMIF('MAR 2021'!$C$11:$F$44,'Movimiento por buque (borrador)'!B21,'MAR 2021'!$E$11:$F$44)</f>
        <v>0</v>
      </c>
      <c r="F21" s="74">
        <f ca="1">SUMIF('ABR 2021'!$C$11:$F$48,'Movimiento por buque (borrador)'!B21,'ABR 2021'!$E$11:$F$48)</f>
        <v>0</v>
      </c>
      <c r="G21" s="74">
        <f ca="1">SUMIF('MAY 2021'!$C$11:$F$51,'Movimiento por buque (borrador)'!B21,'MAY 2021'!$E$11:$F$51)</f>
        <v>0</v>
      </c>
      <c r="H21" s="74">
        <f ca="1">SUMIF('JUN 2021'!$C$11:$F$51,'Movimiento por buque (borrador)'!B21,'JUN 2021'!$E$11:$F$51)</f>
        <v>0</v>
      </c>
      <c r="I21" s="74">
        <f ca="1">SUMIF('JUL 2021'!$C$11:$F$51,'Movimiento por buque (borrador)'!B21,'JUL 2021'!$E$11:$F$51)</f>
        <v>0</v>
      </c>
      <c r="J21" s="74">
        <f ca="1">SUMIF('AGO 2021'!$C$12:$F$52,'Movimiento por buque (borrador)'!B21,'AGO 2021'!$E$12:$F$52)</f>
        <v>0</v>
      </c>
      <c r="K21" s="74">
        <f ca="1">SUMIF('SEP 2021'!$C$11:$F$51,'Movimiento por buque (borrador)'!B21,'SEP 2021'!$E$11:$F$51)</f>
        <v>0</v>
      </c>
      <c r="L21" s="74">
        <f ca="1">SUMIF('OCT 2021'!$C$10:$F$45,B21,'OCT 2021'!$E$10:$F$45)</f>
        <v>0</v>
      </c>
      <c r="M21" s="74">
        <f ca="1">SUMIF('NOV 2021'!$C$11:$F$51,'Movimiento por buque (borrador)'!B21,'NOV 2021'!$E$11:$F$51)</f>
        <v>0</v>
      </c>
      <c r="N21" s="74">
        <f ca="1">SUMIF('DIC 2021'!$C$9:$F$51,B21:B50,'DIC 2021'!$E$9:$F$51)</f>
        <v>125220</v>
      </c>
      <c r="O21" s="81">
        <f ca="1">SUM(C21:N21)</f>
        <v>125220</v>
      </c>
    </row>
    <row r="22" spans="2:15">
      <c r="B22" s="262" t="s">
        <v>127</v>
      </c>
      <c r="C22" s="74">
        <f ca="1">SUMIF('ENE 2021'!$C$11:$F$58,'Movimiento por buque (borrador)'!B22,'ENE 2021'!$E$11:$F$58)</f>
        <v>0</v>
      </c>
      <c r="D22" s="74">
        <f ca="1">SUMIF('FEB 2021'!$C$11:$F$52,'Movimiento por buque (borrador)'!B22,'FEB 2021'!$E$11:$F$52)</f>
        <v>0</v>
      </c>
      <c r="E22" s="74">
        <f ca="1">SUMIF('MAR 2021'!$C$11:$F$50,'Movimiento por buque (borrador)'!B22,'MAR 2021'!$E$11:$F$50)</f>
        <v>0</v>
      </c>
      <c r="F22" s="74">
        <f ca="1">SUMIF('ABR 2021'!$C$11:$F$48,'Movimiento por buque (borrador)'!B22,'ABR 2021'!$E$11:$F$48)</f>
        <v>0</v>
      </c>
      <c r="G22" s="74">
        <f ca="1">SUMIF('MAY 2021'!$C$11:$F$51,'Movimiento por buque (borrador)'!B22,'MAY 2021'!$E$11:$F$51)</f>
        <v>0</v>
      </c>
      <c r="H22" s="74">
        <v>0</v>
      </c>
      <c r="I22" s="74">
        <v>0</v>
      </c>
      <c r="J22" s="74">
        <v>0</v>
      </c>
      <c r="K22" s="74">
        <v>0</v>
      </c>
      <c r="L22" s="74">
        <v>0</v>
      </c>
      <c r="M22" s="74">
        <f ca="1">SUMIF('NOV 2021'!$D$9:$G$39,B22,'NOV 2021'!$F$9:$G$39)</f>
        <v>0</v>
      </c>
      <c r="N22" s="74">
        <f ca="1">SUMIF('DIC 2021'!$C$9:$F$51,B22:B51,'DIC 2021'!$E$9:$F$51)</f>
        <v>120600</v>
      </c>
      <c r="O22" s="81">
        <f ca="1">SUM(C22:N22)</f>
        <v>120600</v>
      </c>
    </row>
    <row r="23" spans="2:15" s="126" customFormat="1">
      <c r="B23" s="80" t="s">
        <v>49</v>
      </c>
      <c r="C23" s="81">
        <f t="shared" ref="C23:O23" ca="1" si="1">SUM(C5:C22)</f>
        <v>1008930</v>
      </c>
      <c r="D23" s="81">
        <f ca="1">SUM(D5:D22)</f>
        <v>719820</v>
      </c>
      <c r="E23" s="81">
        <f ca="1">SUM(E5:E22)</f>
        <v>815730</v>
      </c>
      <c r="F23" s="81">
        <f t="shared" ca="1" si="1"/>
        <v>323730</v>
      </c>
      <c r="G23" s="81">
        <f t="shared" ca="1" si="1"/>
        <v>142350</v>
      </c>
      <c r="H23" s="81">
        <f t="shared" ca="1" si="1"/>
        <v>189810</v>
      </c>
      <c r="I23" s="81">
        <f t="shared" ca="1" si="1"/>
        <v>288270</v>
      </c>
      <c r="J23" s="81">
        <f t="shared" ca="1" si="1"/>
        <v>642030</v>
      </c>
      <c r="K23" s="81">
        <f t="shared" ca="1" si="1"/>
        <v>288390</v>
      </c>
      <c r="L23" s="81">
        <f t="shared" ca="1" si="1"/>
        <v>96240</v>
      </c>
      <c r="M23" s="81">
        <f t="shared" ca="1" si="1"/>
        <v>509250</v>
      </c>
      <c r="N23" s="81">
        <f t="shared" ca="1" si="1"/>
        <v>630750</v>
      </c>
      <c r="O23" s="81">
        <f t="shared" ca="1" si="1"/>
        <v>5655300</v>
      </c>
    </row>
    <row r="24" spans="2:15">
      <c r="B24" s="80"/>
      <c r="C24" s="81"/>
      <c r="D24" s="81"/>
      <c r="E24" s="81"/>
      <c r="F24" s="81"/>
      <c r="G24" s="81"/>
      <c r="H24" s="81"/>
      <c r="I24" s="81"/>
      <c r="J24" s="81"/>
      <c r="K24" s="81"/>
      <c r="L24" s="81"/>
      <c r="M24" s="81"/>
      <c r="N24" s="81"/>
      <c r="O24" s="81"/>
    </row>
    <row r="25" spans="2:15">
      <c r="D25" s="74"/>
    </row>
    <row r="26" spans="2:15">
      <c r="B26" t="s">
        <v>16</v>
      </c>
      <c r="D26" s="82"/>
      <c r="I26" s="74"/>
      <c r="J26" s="74"/>
    </row>
    <row r="27" spans="2:15">
      <c r="B27" s="260" t="s">
        <v>67</v>
      </c>
      <c r="C27" s="74">
        <f ca="1">C20</f>
        <v>0</v>
      </c>
      <c r="D27" s="74">
        <f ca="1">D20</f>
        <v>0</v>
      </c>
      <c r="E27" s="74">
        <v>0</v>
      </c>
      <c r="F27" s="74">
        <f ca="1">F5+F6+F7+F8+F9+F10</f>
        <v>0</v>
      </c>
      <c r="G27" s="74">
        <f ca="1">G5+G6+G7+G8+G9+G10</f>
        <v>0</v>
      </c>
      <c r="H27" s="74">
        <v>0</v>
      </c>
      <c r="I27" s="74">
        <v>0</v>
      </c>
      <c r="J27" s="74">
        <v>0</v>
      </c>
      <c r="K27" s="74">
        <v>0</v>
      </c>
      <c r="L27" s="74">
        <v>0</v>
      </c>
      <c r="M27" s="74">
        <f ca="1">M20</f>
        <v>79350</v>
      </c>
      <c r="N27" s="74">
        <v>0</v>
      </c>
      <c r="O27" s="81">
        <f t="shared" ref="O27:O34" ca="1" si="2">SUM(C27:N27)</f>
        <v>79350</v>
      </c>
    </row>
    <row r="28" spans="2:15">
      <c r="B28" s="234" t="s">
        <v>58</v>
      </c>
      <c r="C28" s="74">
        <f t="shared" ref="C28:I28" ca="1" si="3">C7</f>
        <v>0</v>
      </c>
      <c r="D28" s="74">
        <f t="shared" ca="1" si="3"/>
        <v>0</v>
      </c>
      <c r="E28" s="74">
        <f t="shared" ca="1" si="3"/>
        <v>0</v>
      </c>
      <c r="F28" s="74">
        <f t="shared" ca="1" si="3"/>
        <v>0</v>
      </c>
      <c r="G28" s="74">
        <f t="shared" ca="1" si="3"/>
        <v>0</v>
      </c>
      <c r="H28" s="74">
        <f t="shared" ca="1" si="3"/>
        <v>0</v>
      </c>
      <c r="I28" s="74">
        <f t="shared" ca="1" si="3"/>
        <v>0</v>
      </c>
      <c r="J28" s="74">
        <f ca="1">J7</f>
        <v>230730</v>
      </c>
      <c r="K28" s="74">
        <f t="shared" ref="K28:N28" ca="1" si="4">K7</f>
        <v>58560</v>
      </c>
      <c r="L28" s="74">
        <f t="shared" ca="1" si="4"/>
        <v>0</v>
      </c>
      <c r="M28" s="74">
        <f t="shared" ca="1" si="4"/>
        <v>0</v>
      </c>
      <c r="N28" s="74">
        <f t="shared" ca="1" si="4"/>
        <v>0</v>
      </c>
      <c r="O28" s="81">
        <f t="shared" ca="1" si="2"/>
        <v>289290</v>
      </c>
    </row>
    <row r="29" spans="2:15">
      <c r="B29" s="232" t="s">
        <v>23</v>
      </c>
      <c r="C29" s="74">
        <f>C19+C16</f>
        <v>237540</v>
      </c>
      <c r="D29" s="74">
        <f ca="1">D19+D16</f>
        <v>96420</v>
      </c>
      <c r="E29" s="74">
        <f ca="1">E19+E16</f>
        <v>45690</v>
      </c>
      <c r="F29" s="74">
        <f t="shared" ref="F29:N29" ca="1" si="5">F19+F16</f>
        <v>0</v>
      </c>
      <c r="G29" s="74">
        <f t="shared" ca="1" si="5"/>
        <v>0</v>
      </c>
      <c r="H29" s="74">
        <f t="shared" ca="1" si="5"/>
        <v>0</v>
      </c>
      <c r="I29" s="74">
        <f t="shared" ca="1" si="5"/>
        <v>114090</v>
      </c>
      <c r="J29" s="74">
        <f t="shared" ca="1" si="5"/>
        <v>165480</v>
      </c>
      <c r="K29" s="74">
        <f t="shared" ca="1" si="5"/>
        <v>149580</v>
      </c>
      <c r="L29" s="74">
        <f t="shared" ca="1" si="5"/>
        <v>49620</v>
      </c>
      <c r="M29" s="74">
        <f t="shared" ca="1" si="5"/>
        <v>141570</v>
      </c>
      <c r="N29" s="74">
        <f t="shared" ca="1" si="5"/>
        <v>0</v>
      </c>
      <c r="O29" s="81">
        <f t="shared" ca="1" si="2"/>
        <v>999990</v>
      </c>
    </row>
    <row r="30" spans="2:15">
      <c r="B30" s="233" t="s">
        <v>20</v>
      </c>
      <c r="C30" s="74">
        <f t="shared" ref="C30:L30" si="6">+C13</f>
        <v>98250</v>
      </c>
      <c r="D30" s="74">
        <f ca="1">+D13</f>
        <v>214800</v>
      </c>
      <c r="E30" s="74">
        <f t="shared" ca="1" si="6"/>
        <v>223620</v>
      </c>
      <c r="F30" s="74">
        <f t="shared" ca="1" si="6"/>
        <v>177480</v>
      </c>
      <c r="G30" s="74">
        <f t="shared" ca="1" si="6"/>
        <v>48000</v>
      </c>
      <c r="H30" s="74">
        <f t="shared" ca="1" si="6"/>
        <v>0</v>
      </c>
      <c r="I30" s="74">
        <f t="shared" ca="1" si="6"/>
        <v>0</v>
      </c>
      <c r="J30" s="74">
        <v>0</v>
      </c>
      <c r="K30" s="74">
        <f t="shared" ca="1" si="6"/>
        <v>0</v>
      </c>
      <c r="L30" s="74">
        <f t="shared" ca="1" si="6"/>
        <v>0</v>
      </c>
      <c r="M30" s="74">
        <f ca="1">M13</f>
        <v>0</v>
      </c>
      <c r="N30" s="74">
        <f ca="1">N13</f>
        <v>0</v>
      </c>
      <c r="O30" s="81">
        <f t="shared" ca="1" si="2"/>
        <v>762150</v>
      </c>
    </row>
    <row r="31" spans="2:15">
      <c r="B31" s="231" t="s">
        <v>128</v>
      </c>
      <c r="C31" s="74">
        <v>73410</v>
      </c>
      <c r="D31" s="74">
        <v>125550</v>
      </c>
      <c r="E31" s="74">
        <f t="shared" ref="E31:I31" ca="1" si="7">+E14</f>
        <v>195090</v>
      </c>
      <c r="F31" s="74">
        <f t="shared" ca="1" si="7"/>
        <v>0</v>
      </c>
      <c r="G31" s="74">
        <f t="shared" ca="1" si="7"/>
        <v>94350</v>
      </c>
      <c r="H31" s="74">
        <f t="shared" ca="1" si="7"/>
        <v>189810</v>
      </c>
      <c r="I31" s="74">
        <f t="shared" ca="1" si="7"/>
        <v>174180</v>
      </c>
      <c r="J31" s="74">
        <f ca="1">J14</f>
        <v>97830</v>
      </c>
      <c r="K31" s="74">
        <f ca="1">K14</f>
        <v>69210</v>
      </c>
      <c r="L31" s="74">
        <f ca="1">L14</f>
        <v>46620</v>
      </c>
      <c r="M31" s="74">
        <f ca="1">M14</f>
        <v>113100</v>
      </c>
      <c r="N31" s="74">
        <f ca="1">N14</f>
        <v>23670</v>
      </c>
      <c r="O31" s="81">
        <f t="shared" ca="1" si="2"/>
        <v>1202820</v>
      </c>
    </row>
    <row r="32" spans="2:15">
      <c r="B32" s="264" t="s">
        <v>129</v>
      </c>
      <c r="C32" s="74">
        <v>0</v>
      </c>
      <c r="D32" s="74">
        <v>0</v>
      </c>
      <c r="E32" s="74">
        <v>0</v>
      </c>
      <c r="F32" s="74">
        <v>0</v>
      </c>
      <c r="G32" s="74">
        <v>0</v>
      </c>
      <c r="H32" s="74">
        <v>0</v>
      </c>
      <c r="I32" s="74">
        <v>0</v>
      </c>
      <c r="J32" s="74">
        <v>0</v>
      </c>
      <c r="K32" s="74">
        <v>0</v>
      </c>
      <c r="L32" s="74">
        <v>0</v>
      </c>
      <c r="M32" s="74">
        <v>0</v>
      </c>
      <c r="N32" s="74">
        <f ca="1">N6</f>
        <v>100170</v>
      </c>
      <c r="O32" s="81">
        <f t="shared" ca="1" si="2"/>
        <v>100170</v>
      </c>
    </row>
    <row r="33" spans="2:15">
      <c r="B33" s="262" t="s">
        <v>130</v>
      </c>
      <c r="C33" s="74">
        <v>0</v>
      </c>
      <c r="D33" s="74">
        <v>0</v>
      </c>
      <c r="E33" s="74">
        <v>0</v>
      </c>
      <c r="F33" s="74">
        <v>0</v>
      </c>
      <c r="G33" s="74">
        <v>0</v>
      </c>
      <c r="H33" s="74">
        <v>0</v>
      </c>
      <c r="I33" s="74">
        <v>0</v>
      </c>
      <c r="J33" s="74">
        <v>0</v>
      </c>
      <c r="K33" s="74">
        <v>0</v>
      </c>
      <c r="L33" s="74">
        <v>0</v>
      </c>
      <c r="M33" s="74">
        <v>0</v>
      </c>
      <c r="N33" s="74">
        <f ca="1">N21+N22</f>
        <v>245820</v>
      </c>
      <c r="O33" s="81">
        <f t="shared" ca="1" si="2"/>
        <v>245820</v>
      </c>
    </row>
    <row r="34" spans="2:15">
      <c r="B34" s="229" t="s">
        <v>21</v>
      </c>
      <c r="C34" s="74">
        <v>599730</v>
      </c>
      <c r="D34" s="74">
        <v>283050</v>
      </c>
      <c r="E34" s="74">
        <f t="shared" ref="E34:M34" ca="1" si="8">+E5+E18</f>
        <v>351330</v>
      </c>
      <c r="F34" s="74">
        <f t="shared" ca="1" si="8"/>
        <v>146250</v>
      </c>
      <c r="G34" s="74">
        <f t="shared" ca="1" si="8"/>
        <v>0</v>
      </c>
      <c r="H34" s="74">
        <f t="shared" ca="1" si="8"/>
        <v>0</v>
      </c>
      <c r="I34" s="74">
        <f t="shared" ca="1" si="8"/>
        <v>0</v>
      </c>
      <c r="J34" s="74">
        <f t="shared" ca="1" si="8"/>
        <v>147990</v>
      </c>
      <c r="K34" s="74">
        <f t="shared" ca="1" si="8"/>
        <v>11040</v>
      </c>
      <c r="L34" s="74">
        <f t="shared" ca="1" si="8"/>
        <v>0</v>
      </c>
      <c r="M34" s="74">
        <f t="shared" ca="1" si="8"/>
        <v>175230</v>
      </c>
      <c r="N34" s="74">
        <f ca="1">+N5+N18+N10</f>
        <v>261090</v>
      </c>
      <c r="O34" s="81">
        <f t="shared" ca="1" si="2"/>
        <v>1975710</v>
      </c>
    </row>
    <row r="35" spans="2:15">
      <c r="B35" s="80" t="s">
        <v>49</v>
      </c>
      <c r="C35" s="81">
        <f t="shared" ref="C35:J35" ca="1" si="9">SUM(C27:C34)</f>
        <v>1008930</v>
      </c>
      <c r="D35" s="81">
        <f t="shared" ca="1" si="9"/>
        <v>719820</v>
      </c>
      <c r="E35" s="81">
        <f t="shared" ca="1" si="9"/>
        <v>815730</v>
      </c>
      <c r="F35" s="81">
        <f t="shared" ca="1" si="9"/>
        <v>323730</v>
      </c>
      <c r="G35" s="81">
        <f t="shared" ca="1" si="9"/>
        <v>142350</v>
      </c>
      <c r="H35" s="81">
        <f t="shared" ca="1" si="9"/>
        <v>189810</v>
      </c>
      <c r="I35" s="81">
        <f t="shared" ca="1" si="9"/>
        <v>288270</v>
      </c>
      <c r="J35" s="81">
        <f t="shared" ca="1" si="9"/>
        <v>642030</v>
      </c>
      <c r="K35" s="81">
        <f ca="1">SUM(K27:K34)</f>
        <v>288390</v>
      </c>
      <c r="L35" s="81">
        <f ca="1">SUM(L27:L34)</f>
        <v>96240</v>
      </c>
      <c r="M35" s="81">
        <f ca="1">SUM(M27:M34)</f>
        <v>509250</v>
      </c>
      <c r="N35" s="81">
        <f ca="1">SUM(N27:N34)</f>
        <v>630750</v>
      </c>
      <c r="O35" s="81">
        <f ca="1">SUM(O27:O34)</f>
        <v>5655300</v>
      </c>
    </row>
  </sheetData>
  <mergeCells count="3">
    <mergeCell ref="C2:O2"/>
    <mergeCell ref="B12:C12"/>
    <mergeCell ref="B15:C15"/>
  </mergeCells>
  <phoneticPr fontId="0" type="noConversion"/>
  <pageMargins left="0.75" right="0.75" top="1" bottom="1" header="0" footer="0"/>
  <pageSetup paperSize="9" scale="6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84"/>
  <sheetViews>
    <sheetView topLeftCell="A28" zoomScaleNormal="100" zoomScaleSheetLayoutView="100" workbookViewId="0">
      <selection activeCell="F60" sqref="F60:G60"/>
    </sheetView>
  </sheetViews>
  <sheetFormatPr defaultColWidth="9.140625" defaultRowHeight="12.75"/>
  <cols>
    <col min="1" max="2" width="4.28515625" customWidth="1"/>
    <col min="3" max="10" width="12.42578125" customWidth="1"/>
    <col min="11" max="256" width="11.42578125" customWidth="1"/>
  </cols>
  <sheetData>
    <row r="1" spans="1:11">
      <c r="A1" s="3"/>
      <c r="B1" s="3"/>
      <c r="C1" s="4"/>
      <c r="D1" s="4"/>
      <c r="E1" s="4"/>
      <c r="F1" s="4"/>
      <c r="G1" s="4"/>
      <c r="H1" s="4"/>
      <c r="I1" s="4"/>
      <c r="J1" s="4"/>
      <c r="K1" s="3"/>
    </row>
    <row r="2" spans="1:11">
      <c r="A2" s="5"/>
      <c r="B2" s="5"/>
      <c r="C2" s="3"/>
      <c r="D2" s="3"/>
      <c r="E2" s="3"/>
      <c r="F2" s="3"/>
      <c r="G2" s="3"/>
      <c r="H2" s="3"/>
      <c r="I2" s="3"/>
      <c r="J2" s="3"/>
      <c r="K2" s="3"/>
    </row>
    <row r="3" spans="1:11">
      <c r="A3" s="5"/>
      <c r="B3" s="5"/>
      <c r="C3" s="3"/>
      <c r="D3" s="3"/>
      <c r="E3" s="196"/>
      <c r="F3" s="196"/>
      <c r="G3" s="196"/>
      <c r="H3" s="196"/>
      <c r="I3" s="196"/>
      <c r="J3" s="196"/>
      <c r="K3" s="3"/>
    </row>
    <row r="4" spans="1:11">
      <c r="A4" s="6"/>
      <c r="B4" s="6"/>
      <c r="C4" s="3"/>
      <c r="D4" s="3"/>
      <c r="E4" s="196"/>
      <c r="F4" s="196"/>
      <c r="G4" s="196"/>
      <c r="H4" s="196"/>
      <c r="I4" s="196"/>
      <c r="J4" s="196"/>
      <c r="K4" s="3"/>
    </row>
    <row r="5" spans="1:11">
      <c r="A5" s="5"/>
      <c r="B5" s="5"/>
      <c r="C5" s="3"/>
      <c r="D5" s="3"/>
      <c r="E5" s="3"/>
      <c r="F5" s="3"/>
      <c r="G5" s="3"/>
      <c r="H5" s="3"/>
      <c r="I5" s="3"/>
      <c r="J5" s="3"/>
      <c r="K5" s="3"/>
    </row>
    <row r="6" spans="1:11">
      <c r="A6" s="6"/>
      <c r="B6" s="6"/>
      <c r="C6" s="3"/>
      <c r="D6" s="3"/>
      <c r="E6" s="3"/>
      <c r="F6" s="3"/>
      <c r="G6" s="3"/>
      <c r="H6" s="3"/>
      <c r="I6" s="3"/>
      <c r="J6" s="3"/>
      <c r="K6" s="3"/>
    </row>
    <row r="7" spans="1:11">
      <c r="A7" s="6"/>
      <c r="B7" s="6"/>
      <c r="C7" s="3"/>
      <c r="D7" s="3"/>
      <c r="E7" s="284" t="s">
        <v>1</v>
      </c>
      <c r="F7" s="284"/>
      <c r="G7" s="284"/>
      <c r="H7" s="284"/>
      <c r="I7" s="237" t="s">
        <v>2</v>
      </c>
      <c r="J7" s="226">
        <f>CARÁTULA!$F$16</f>
        <v>2021</v>
      </c>
      <c r="K7" s="3"/>
    </row>
    <row r="8" spans="1:11">
      <c r="A8" s="6"/>
      <c r="B8" s="6"/>
      <c r="C8" s="3"/>
      <c r="D8" s="3"/>
      <c r="E8" s="3"/>
      <c r="F8" s="3"/>
      <c r="G8" s="3"/>
      <c r="H8" s="3"/>
      <c r="I8" s="3"/>
      <c r="J8" s="3"/>
      <c r="K8" s="3"/>
    </row>
    <row r="9" spans="1:11">
      <c r="A9" s="7"/>
      <c r="B9" s="7"/>
      <c r="C9" s="8"/>
      <c r="D9" s="8"/>
      <c r="E9" s="7"/>
      <c r="F9" s="8"/>
      <c r="G9" s="8"/>
      <c r="H9" s="8"/>
      <c r="I9" s="7"/>
      <c r="J9" s="7"/>
      <c r="K9" s="3"/>
    </row>
    <row r="10" spans="1:11">
      <c r="A10" s="9"/>
      <c r="B10" s="241" t="s">
        <v>3</v>
      </c>
      <c r="C10" s="241" t="s">
        <v>4</v>
      </c>
      <c r="D10" s="267" t="s">
        <v>5</v>
      </c>
      <c r="E10" s="267"/>
      <c r="F10" s="267" t="s">
        <v>6</v>
      </c>
      <c r="G10" s="267"/>
      <c r="H10" s="267" t="s">
        <v>7</v>
      </c>
      <c r="I10" s="267"/>
      <c r="J10" s="267"/>
      <c r="K10" s="3"/>
    </row>
    <row r="11" spans="1:11">
      <c r="A11" s="9"/>
      <c r="B11" s="115">
        <v>1</v>
      </c>
      <c r="C11" s="42">
        <v>44198</v>
      </c>
      <c r="D11" s="334" t="s">
        <v>8</v>
      </c>
      <c r="E11" s="334"/>
      <c r="F11" s="269">
        <v>42990</v>
      </c>
      <c r="G11" s="269"/>
      <c r="H11" s="266" t="s">
        <v>9</v>
      </c>
      <c r="I11" s="266"/>
      <c r="J11" s="266"/>
      <c r="K11" s="3"/>
    </row>
    <row r="12" spans="1:11">
      <c r="A12" s="9"/>
      <c r="B12" s="115">
        <v>2</v>
      </c>
      <c r="C12" s="42">
        <v>44200</v>
      </c>
      <c r="D12" s="335" t="s">
        <v>10</v>
      </c>
      <c r="E12" s="335"/>
      <c r="F12" s="269">
        <v>31020</v>
      </c>
      <c r="G12" s="269"/>
      <c r="H12" s="266" t="s">
        <v>9</v>
      </c>
      <c r="I12" s="266"/>
      <c r="J12" s="266"/>
      <c r="K12" s="3"/>
    </row>
    <row r="13" spans="1:11">
      <c r="A13" s="9"/>
      <c r="B13" s="115">
        <v>3</v>
      </c>
      <c r="C13" s="42">
        <v>44200</v>
      </c>
      <c r="D13" s="335" t="s">
        <v>8</v>
      </c>
      <c r="E13" s="335"/>
      <c r="F13" s="269">
        <v>43110</v>
      </c>
      <c r="G13" s="269"/>
      <c r="H13" s="266" t="s">
        <v>9</v>
      </c>
      <c r="I13" s="266"/>
      <c r="J13" s="266"/>
      <c r="K13" s="3"/>
    </row>
    <row r="14" spans="1:11">
      <c r="A14" s="9"/>
      <c r="B14" s="115">
        <v>5</v>
      </c>
      <c r="C14" s="42">
        <v>44201</v>
      </c>
      <c r="D14" s="268" t="s">
        <v>10</v>
      </c>
      <c r="E14" s="268"/>
      <c r="F14" s="269">
        <v>36990</v>
      </c>
      <c r="G14" s="269"/>
      <c r="H14" s="266" t="s">
        <v>9</v>
      </c>
      <c r="I14" s="266"/>
      <c r="J14" s="266"/>
      <c r="K14" s="3"/>
    </row>
    <row r="15" spans="1:11">
      <c r="A15" s="9"/>
      <c r="B15" s="115">
        <v>6</v>
      </c>
      <c r="C15" s="42">
        <v>44203</v>
      </c>
      <c r="D15" s="335" t="s">
        <v>8</v>
      </c>
      <c r="E15" s="335"/>
      <c r="F15" s="269">
        <v>35220</v>
      </c>
      <c r="G15" s="269"/>
      <c r="H15" s="266" t="s">
        <v>9</v>
      </c>
      <c r="I15" s="266"/>
      <c r="J15" s="266"/>
      <c r="K15" s="3"/>
    </row>
    <row r="16" spans="1:11">
      <c r="A16" s="9"/>
      <c r="B16" s="115">
        <v>7</v>
      </c>
      <c r="C16" s="42">
        <v>44203</v>
      </c>
      <c r="D16" s="335" t="s">
        <v>11</v>
      </c>
      <c r="E16" s="335"/>
      <c r="F16" s="269">
        <v>29010</v>
      </c>
      <c r="G16" s="269"/>
      <c r="H16" s="266" t="s">
        <v>9</v>
      </c>
      <c r="I16" s="266"/>
      <c r="J16" s="266"/>
      <c r="K16" s="3"/>
    </row>
    <row r="17" spans="1:11">
      <c r="A17" s="9"/>
      <c r="B17" s="115">
        <v>8</v>
      </c>
      <c r="C17" s="42">
        <v>44204</v>
      </c>
      <c r="D17" s="335" t="s">
        <v>12</v>
      </c>
      <c r="E17" s="335"/>
      <c r="F17" s="269">
        <v>16230</v>
      </c>
      <c r="G17" s="269"/>
      <c r="H17" s="266" t="s">
        <v>9</v>
      </c>
      <c r="I17" s="266"/>
      <c r="J17" s="266"/>
      <c r="K17" s="3"/>
    </row>
    <row r="18" spans="1:11">
      <c r="A18" s="9"/>
      <c r="B18" s="115">
        <v>10</v>
      </c>
      <c r="C18" s="42">
        <v>44205</v>
      </c>
      <c r="D18" s="335" t="s">
        <v>8</v>
      </c>
      <c r="E18" s="335"/>
      <c r="F18" s="269">
        <v>45330</v>
      </c>
      <c r="G18" s="269"/>
      <c r="H18" s="266" t="s">
        <v>9</v>
      </c>
      <c r="I18" s="266"/>
      <c r="J18" s="266"/>
      <c r="K18" s="3"/>
    </row>
    <row r="19" spans="1:11">
      <c r="A19" s="9"/>
      <c r="B19" s="115">
        <v>11</v>
      </c>
      <c r="C19" s="42">
        <v>44206</v>
      </c>
      <c r="D19" s="335" t="s">
        <v>13</v>
      </c>
      <c r="E19" s="335"/>
      <c r="F19" s="269">
        <v>40200</v>
      </c>
      <c r="G19" s="269"/>
      <c r="H19" s="266" t="s">
        <v>9</v>
      </c>
      <c r="I19" s="266"/>
      <c r="J19" s="266"/>
      <c r="K19" s="3"/>
    </row>
    <row r="20" spans="1:11">
      <c r="A20" s="9"/>
      <c r="B20" s="115">
        <v>12</v>
      </c>
      <c r="C20" s="42">
        <v>44207</v>
      </c>
      <c r="D20" s="335" t="s">
        <v>8</v>
      </c>
      <c r="E20" s="335"/>
      <c r="F20" s="269">
        <v>19710</v>
      </c>
      <c r="G20" s="269"/>
      <c r="H20" s="266" t="s">
        <v>9</v>
      </c>
      <c r="I20" s="266"/>
      <c r="J20" s="266"/>
      <c r="K20" s="3"/>
    </row>
    <row r="21" spans="1:11">
      <c r="A21" s="9"/>
      <c r="B21" s="115">
        <v>13</v>
      </c>
      <c r="C21" s="42">
        <v>44205</v>
      </c>
      <c r="D21" s="335" t="s">
        <v>11</v>
      </c>
      <c r="E21" s="335"/>
      <c r="F21" s="269">
        <v>48270</v>
      </c>
      <c r="G21" s="269"/>
      <c r="H21" s="266" t="s">
        <v>9</v>
      </c>
      <c r="I21" s="266"/>
      <c r="J21" s="266"/>
      <c r="K21" s="3"/>
    </row>
    <row r="22" spans="1:11">
      <c r="A22" s="9"/>
      <c r="B22" s="115">
        <v>14</v>
      </c>
      <c r="C22" s="42">
        <v>44209</v>
      </c>
      <c r="D22" s="335" t="s">
        <v>8</v>
      </c>
      <c r="E22" s="335"/>
      <c r="F22" s="269">
        <v>38400</v>
      </c>
      <c r="G22" s="269"/>
      <c r="H22" s="266" t="s">
        <v>9</v>
      </c>
      <c r="I22" s="266"/>
      <c r="J22" s="266"/>
      <c r="K22" s="3"/>
    </row>
    <row r="23" spans="1:11">
      <c r="A23" s="9"/>
      <c r="B23" s="115">
        <v>15</v>
      </c>
      <c r="C23" s="42">
        <v>44209</v>
      </c>
      <c r="D23" s="335" t="s">
        <v>13</v>
      </c>
      <c r="E23" s="335"/>
      <c r="F23" s="269">
        <v>44250</v>
      </c>
      <c r="G23" s="269"/>
      <c r="H23" s="266" t="s">
        <v>9</v>
      </c>
      <c r="I23" s="266"/>
      <c r="J23" s="266"/>
      <c r="K23" s="3"/>
    </row>
    <row r="24" spans="1:11">
      <c r="A24" s="9"/>
      <c r="B24" s="115">
        <v>16</v>
      </c>
      <c r="C24" s="42">
        <v>44210</v>
      </c>
      <c r="D24" s="335" t="s">
        <v>11</v>
      </c>
      <c r="E24" s="335"/>
      <c r="F24" s="269">
        <v>32250</v>
      </c>
      <c r="G24" s="269"/>
      <c r="H24" s="266" t="s">
        <v>9</v>
      </c>
      <c r="I24" s="266"/>
      <c r="J24" s="266"/>
      <c r="K24" s="3"/>
    </row>
    <row r="25" spans="1:11">
      <c r="A25" s="9"/>
      <c r="B25" s="115">
        <v>17</v>
      </c>
      <c r="C25" s="42">
        <v>44211</v>
      </c>
      <c r="D25" s="335" t="s">
        <v>8</v>
      </c>
      <c r="E25" s="335"/>
      <c r="F25" s="269">
        <v>33510</v>
      </c>
      <c r="G25" s="269"/>
      <c r="H25" s="266" t="s">
        <v>9</v>
      </c>
      <c r="I25" s="266"/>
      <c r="J25" s="266"/>
      <c r="K25" s="3"/>
    </row>
    <row r="26" spans="1:11">
      <c r="A26" s="9"/>
      <c r="B26" s="115">
        <v>18</v>
      </c>
      <c r="C26" s="42">
        <v>44212</v>
      </c>
      <c r="D26" s="335" t="s">
        <v>13</v>
      </c>
      <c r="E26" s="335"/>
      <c r="F26" s="269">
        <v>11280</v>
      </c>
      <c r="G26" s="269"/>
      <c r="H26" s="266" t="s">
        <v>9</v>
      </c>
      <c r="I26" s="266"/>
      <c r="J26" s="266"/>
      <c r="K26" s="3"/>
    </row>
    <row r="27" spans="1:11">
      <c r="A27" s="9"/>
      <c r="B27" s="115">
        <v>21</v>
      </c>
      <c r="C27" s="42">
        <v>44215</v>
      </c>
      <c r="D27" s="335" t="s">
        <v>8</v>
      </c>
      <c r="E27" s="335"/>
      <c r="F27" s="269">
        <v>32220</v>
      </c>
      <c r="G27" s="269"/>
      <c r="H27" s="266" t="s">
        <v>9</v>
      </c>
      <c r="I27" s="266"/>
      <c r="J27" s="266"/>
      <c r="K27" s="3"/>
    </row>
    <row r="28" spans="1:11">
      <c r="A28" s="9"/>
      <c r="B28" s="115">
        <v>22</v>
      </c>
      <c r="C28" s="42">
        <v>44215</v>
      </c>
      <c r="D28" s="335" t="s">
        <v>14</v>
      </c>
      <c r="E28" s="335"/>
      <c r="F28" s="269">
        <v>20730</v>
      </c>
      <c r="G28" s="269"/>
      <c r="H28" s="266" t="s">
        <v>9</v>
      </c>
      <c r="I28" s="266"/>
      <c r="J28" s="266"/>
      <c r="K28" s="3"/>
    </row>
    <row r="29" spans="1:11">
      <c r="A29" s="9"/>
      <c r="B29" s="115">
        <v>23</v>
      </c>
      <c r="C29" s="42">
        <v>44215</v>
      </c>
      <c r="D29" s="335" t="s">
        <v>13</v>
      </c>
      <c r="E29" s="335"/>
      <c r="F29" s="269">
        <v>28590</v>
      </c>
      <c r="G29" s="269"/>
      <c r="H29" s="266" t="s">
        <v>9</v>
      </c>
      <c r="I29" s="266"/>
      <c r="J29" s="266"/>
      <c r="K29" s="3"/>
    </row>
    <row r="30" spans="1:11">
      <c r="A30" s="9"/>
      <c r="B30" s="115">
        <v>24</v>
      </c>
      <c r="C30" s="42">
        <v>44217</v>
      </c>
      <c r="D30" s="335" t="s">
        <v>12</v>
      </c>
      <c r="E30" s="335"/>
      <c r="F30" s="269">
        <v>16350</v>
      </c>
      <c r="G30" s="269"/>
      <c r="H30" s="266" t="s">
        <v>9</v>
      </c>
      <c r="I30" s="266"/>
      <c r="J30" s="266"/>
      <c r="K30" s="3"/>
    </row>
    <row r="31" spans="1:11">
      <c r="A31" s="9"/>
      <c r="B31" s="115">
        <v>25</v>
      </c>
      <c r="C31" s="42">
        <v>44218</v>
      </c>
      <c r="D31" s="335" t="s">
        <v>14</v>
      </c>
      <c r="E31" s="335"/>
      <c r="F31" s="269">
        <v>30990</v>
      </c>
      <c r="G31" s="269"/>
      <c r="H31" s="266" t="s">
        <v>9</v>
      </c>
      <c r="I31" s="266"/>
      <c r="J31" s="266"/>
      <c r="K31" s="3"/>
    </row>
    <row r="32" spans="1:11">
      <c r="A32" s="9"/>
      <c r="B32" s="115">
        <v>26</v>
      </c>
      <c r="C32" s="42">
        <v>44218</v>
      </c>
      <c r="D32" s="266" t="s">
        <v>8</v>
      </c>
      <c r="E32" s="266"/>
      <c r="F32" s="269">
        <v>38700</v>
      </c>
      <c r="G32" s="269"/>
      <c r="H32" s="266" t="s">
        <v>9</v>
      </c>
      <c r="I32" s="266"/>
      <c r="J32" s="266"/>
      <c r="K32" s="3"/>
    </row>
    <row r="33" spans="1:11">
      <c r="A33" s="9"/>
      <c r="B33" s="115">
        <v>27</v>
      </c>
      <c r="C33" s="42">
        <v>44217</v>
      </c>
      <c r="D33" s="266" t="s">
        <v>11</v>
      </c>
      <c r="E33" s="266"/>
      <c r="F33" s="269">
        <v>30480</v>
      </c>
      <c r="G33" s="269"/>
      <c r="H33" s="266" t="s">
        <v>9</v>
      </c>
      <c r="I33" s="266"/>
      <c r="J33" s="266"/>
      <c r="K33" s="3"/>
    </row>
    <row r="34" spans="1:11">
      <c r="A34" s="9"/>
      <c r="B34" s="115">
        <v>28</v>
      </c>
      <c r="C34" s="42">
        <v>44219</v>
      </c>
      <c r="D34" s="266" t="s">
        <v>13</v>
      </c>
      <c r="E34" s="266"/>
      <c r="F34" s="269">
        <v>43620</v>
      </c>
      <c r="G34" s="269"/>
      <c r="H34" s="266" t="s">
        <v>9</v>
      </c>
      <c r="I34" s="266"/>
      <c r="J34" s="266"/>
      <c r="K34" s="3"/>
    </row>
    <row r="35" spans="1:11">
      <c r="A35" s="9"/>
      <c r="B35" s="115">
        <v>30</v>
      </c>
      <c r="C35" s="42">
        <v>44220</v>
      </c>
      <c r="D35" s="266" t="s">
        <v>8</v>
      </c>
      <c r="E35" s="266"/>
      <c r="F35" s="269">
        <v>35010</v>
      </c>
      <c r="G35" s="269"/>
      <c r="H35" s="266" t="s">
        <v>9</v>
      </c>
      <c r="I35" s="266"/>
      <c r="J35" s="266"/>
      <c r="K35" s="3"/>
    </row>
    <row r="36" spans="1:11">
      <c r="A36" s="9"/>
      <c r="B36" s="115">
        <v>31</v>
      </c>
      <c r="C36" s="42">
        <v>44222</v>
      </c>
      <c r="D36" s="266" t="s">
        <v>13</v>
      </c>
      <c r="E36" s="266"/>
      <c r="F36" s="269">
        <v>25500</v>
      </c>
      <c r="G36" s="269"/>
      <c r="H36" s="266" t="s">
        <v>9</v>
      </c>
      <c r="I36" s="266"/>
      <c r="J36" s="266"/>
      <c r="K36" s="3"/>
    </row>
    <row r="37" spans="1:11">
      <c r="A37" s="9"/>
      <c r="B37" s="115">
        <v>32</v>
      </c>
      <c r="C37" s="42">
        <v>44223</v>
      </c>
      <c r="D37" s="266" t="s">
        <v>14</v>
      </c>
      <c r="E37" s="266"/>
      <c r="F37" s="269">
        <v>28170</v>
      </c>
      <c r="G37" s="269"/>
      <c r="H37" s="266" t="s">
        <v>9</v>
      </c>
      <c r="I37" s="266"/>
      <c r="J37" s="266"/>
      <c r="K37" s="3"/>
    </row>
    <row r="38" spans="1:11">
      <c r="A38" s="9"/>
      <c r="B38" s="115">
        <v>33</v>
      </c>
      <c r="C38" s="42">
        <v>44223</v>
      </c>
      <c r="D38" s="266" t="s">
        <v>8</v>
      </c>
      <c r="E38" s="266"/>
      <c r="F38" s="269">
        <v>29790</v>
      </c>
      <c r="G38" s="269"/>
      <c r="H38" s="266" t="s">
        <v>9</v>
      </c>
      <c r="I38" s="266"/>
      <c r="J38" s="266"/>
      <c r="K38" s="3"/>
    </row>
    <row r="39" spans="1:11">
      <c r="A39" s="9"/>
      <c r="B39" s="115">
        <v>34</v>
      </c>
      <c r="C39" s="42">
        <v>44225</v>
      </c>
      <c r="D39" s="266" t="s">
        <v>13</v>
      </c>
      <c r="E39" s="266"/>
      <c r="F39" s="269">
        <v>22620</v>
      </c>
      <c r="G39" s="269"/>
      <c r="H39" s="266" t="s">
        <v>9</v>
      </c>
      <c r="I39" s="266"/>
      <c r="J39" s="266"/>
      <c r="K39" s="3"/>
    </row>
    <row r="40" spans="1:11">
      <c r="A40" s="9"/>
      <c r="B40" s="115">
        <v>35</v>
      </c>
      <c r="C40" s="42">
        <v>44226</v>
      </c>
      <c r="D40" s="266" t="s">
        <v>8</v>
      </c>
      <c r="E40" s="266"/>
      <c r="F40" s="269">
        <v>30510</v>
      </c>
      <c r="G40" s="269"/>
      <c r="H40" s="266" t="s">
        <v>9</v>
      </c>
      <c r="I40" s="266"/>
      <c r="J40" s="266"/>
      <c r="K40" s="3"/>
    </row>
    <row r="41" spans="1:11">
      <c r="A41" s="9"/>
      <c r="B41" s="115">
        <v>36</v>
      </c>
      <c r="C41" s="42">
        <v>44222</v>
      </c>
      <c r="D41" s="9" t="s">
        <v>11</v>
      </c>
      <c r="E41" s="9"/>
      <c r="F41" s="236"/>
      <c r="G41" s="236">
        <v>29520</v>
      </c>
      <c r="H41" s="9" t="s">
        <v>9</v>
      </c>
      <c r="I41" s="9"/>
      <c r="J41" s="9"/>
      <c r="K41" s="3"/>
    </row>
    <row r="42" spans="1:11">
      <c r="A42" s="9"/>
      <c r="B42" s="115">
        <v>37</v>
      </c>
      <c r="C42" s="42">
        <v>44225</v>
      </c>
      <c r="D42" s="335" t="s">
        <v>14</v>
      </c>
      <c r="E42" s="335"/>
      <c r="F42" s="269">
        <v>18360</v>
      </c>
      <c r="G42" s="269"/>
      <c r="H42" s="266" t="s">
        <v>9</v>
      </c>
      <c r="I42" s="266"/>
      <c r="J42" s="266"/>
      <c r="K42" s="3"/>
    </row>
    <row r="43" spans="1:11">
      <c r="A43" s="9"/>
      <c r="B43" s="115"/>
      <c r="C43" s="42"/>
      <c r="D43" s="335"/>
      <c r="E43" s="335"/>
      <c r="F43" s="269"/>
      <c r="G43" s="269"/>
      <c r="H43" s="266"/>
      <c r="I43" s="266"/>
      <c r="J43" s="266"/>
      <c r="K43" s="3"/>
    </row>
    <row r="44" spans="1:11">
      <c r="A44" s="9"/>
      <c r="B44" s="9"/>
      <c r="C44" s="11"/>
      <c r="D44" s="10"/>
      <c r="E44" s="10"/>
      <c r="F44" s="280">
        <f>SUM(F11:G43)</f>
        <v>1008930</v>
      </c>
      <c r="G44" s="281"/>
      <c r="H44" s="18"/>
      <c r="I44" s="18"/>
      <c r="J44" s="18"/>
      <c r="K44" s="3"/>
    </row>
    <row r="45" spans="1:11">
      <c r="A45" s="9"/>
      <c r="B45" s="9"/>
      <c r="C45" s="12"/>
      <c r="D45" s="7"/>
      <c r="E45" s="13"/>
      <c r="F45" s="7"/>
      <c r="G45" s="7"/>
      <c r="H45" s="7"/>
      <c r="I45" s="12"/>
      <c r="J45" s="7"/>
      <c r="K45" s="3"/>
    </row>
    <row r="46" spans="1:11">
      <c r="A46" s="9"/>
      <c r="B46" s="9"/>
      <c r="C46" s="7"/>
      <c r="D46" s="282" t="s">
        <v>15</v>
      </c>
      <c r="E46" s="282"/>
      <c r="F46" s="7"/>
      <c r="G46" s="41">
        <f>F44/1000</f>
        <v>1008.93</v>
      </c>
      <c r="H46" s="7"/>
      <c r="I46" s="12"/>
      <c r="J46" s="7"/>
      <c r="K46" s="3"/>
    </row>
    <row r="47" spans="1:11">
      <c r="A47" s="9"/>
      <c r="B47" s="9"/>
      <c r="C47" s="7"/>
      <c r="D47" s="7"/>
      <c r="E47" s="13"/>
      <c r="F47" s="7"/>
      <c r="G47" s="7"/>
      <c r="H47" s="7"/>
      <c r="I47" s="7"/>
      <c r="J47" s="7"/>
      <c r="K47" s="3"/>
    </row>
    <row r="48" spans="1:11">
      <c r="A48" s="9"/>
      <c r="B48" s="9"/>
      <c r="C48" s="7"/>
      <c r="D48" s="7"/>
      <c r="E48" s="7"/>
      <c r="F48" s="7"/>
      <c r="G48" s="7"/>
      <c r="H48" s="7"/>
      <c r="I48" s="7"/>
      <c r="J48" s="7"/>
      <c r="K48" s="3"/>
    </row>
    <row r="49" spans="1:11">
      <c r="A49" s="9"/>
      <c r="B49" s="9"/>
      <c r="C49" s="267" t="s">
        <v>16</v>
      </c>
      <c r="D49" s="267"/>
      <c r="E49" s="267" t="s">
        <v>17</v>
      </c>
      <c r="F49" s="267"/>
      <c r="G49" s="241" t="s">
        <v>18</v>
      </c>
      <c r="H49" s="241" t="s">
        <v>19</v>
      </c>
      <c r="I49" s="7"/>
      <c r="J49" s="7"/>
      <c r="K49" s="3"/>
    </row>
    <row r="50" spans="1:11">
      <c r="A50" s="9"/>
      <c r="B50" s="9"/>
      <c r="C50" s="279" t="s">
        <v>20</v>
      </c>
      <c r="D50" s="279"/>
      <c r="E50" s="336">
        <v>98250</v>
      </c>
      <c r="F50" s="336"/>
      <c r="G50" s="43">
        <f>E50/F44</f>
        <v>9.7380393089708903E-2</v>
      </c>
      <c r="H50" s="45">
        <v>4</v>
      </c>
      <c r="I50" s="7"/>
      <c r="J50" s="7"/>
      <c r="K50" s="3"/>
    </row>
    <row r="51" spans="1:11">
      <c r="A51" s="9"/>
      <c r="B51" s="9"/>
      <c r="C51" s="266" t="s">
        <v>21</v>
      </c>
      <c r="D51" s="266"/>
      <c r="E51" s="336">
        <v>599730</v>
      </c>
      <c r="F51" s="336"/>
      <c r="G51" s="43">
        <f>E51/F44</f>
        <v>0.5944218132080521</v>
      </c>
      <c r="H51" s="45">
        <v>19</v>
      </c>
      <c r="I51" s="7"/>
      <c r="J51" s="7"/>
      <c r="K51" s="3"/>
    </row>
    <row r="52" spans="1:11">
      <c r="A52" s="9"/>
      <c r="B52" s="9"/>
      <c r="C52" s="266" t="s">
        <v>22</v>
      </c>
      <c r="D52" s="266"/>
      <c r="E52" s="336">
        <v>73410</v>
      </c>
      <c r="F52" s="336"/>
      <c r="G52" s="43">
        <f>E52/F44</f>
        <v>7.2760250958936692E-2</v>
      </c>
      <c r="H52" s="45">
        <v>2</v>
      </c>
      <c r="I52" s="7"/>
      <c r="J52" s="7"/>
      <c r="K52" s="3"/>
    </row>
    <row r="53" spans="1:11">
      <c r="A53" s="9"/>
      <c r="B53" s="9"/>
      <c r="C53" s="266" t="s">
        <v>23</v>
      </c>
      <c r="D53" s="266"/>
      <c r="E53" s="269">
        <v>237540</v>
      </c>
      <c r="F53" s="269"/>
      <c r="G53" s="43">
        <f>E53/F44</f>
        <v>0.23543754274330231</v>
      </c>
      <c r="H53" s="45">
        <v>7</v>
      </c>
      <c r="I53" s="7"/>
      <c r="J53" s="7"/>
      <c r="K53" s="3"/>
    </row>
    <row r="54" spans="1:11">
      <c r="A54" s="9"/>
      <c r="B54" s="9"/>
      <c r="C54" s="266"/>
      <c r="D54" s="266"/>
      <c r="E54" s="274">
        <v>0</v>
      </c>
      <c r="F54" s="274"/>
      <c r="G54" s="43">
        <f>E54/F44</f>
        <v>0</v>
      </c>
      <c r="H54" s="45">
        <v>0</v>
      </c>
      <c r="I54" s="7"/>
      <c r="J54" s="7"/>
      <c r="K54" s="3"/>
    </row>
    <row r="55" spans="1:11">
      <c r="A55" s="9"/>
      <c r="B55" s="9"/>
      <c r="C55" s="14"/>
      <c r="D55" s="238" t="s">
        <v>24</v>
      </c>
      <c r="E55" s="337">
        <f>SUM(E50:F54)</f>
        <v>1008930</v>
      </c>
      <c r="F55" s="337"/>
      <c r="G55" s="44">
        <f>SUM(G50:G54)</f>
        <v>1</v>
      </c>
      <c r="H55" s="46">
        <f>SUM(H50:H54)</f>
        <v>32</v>
      </c>
      <c r="I55" s="7"/>
      <c r="J55" s="7"/>
      <c r="K55" s="3"/>
    </row>
    <row r="56" spans="1:11">
      <c r="A56" s="9"/>
      <c r="B56" s="9"/>
      <c r="C56" s="15"/>
      <c r="D56" s="15"/>
      <c r="E56" s="10"/>
      <c r="F56" s="10"/>
      <c r="G56" s="10"/>
      <c r="H56" s="7"/>
      <c r="I56" s="7"/>
      <c r="J56" s="7"/>
      <c r="K56" s="3"/>
    </row>
    <row r="57" spans="1:11">
      <c r="A57" s="9"/>
      <c r="B57" s="9"/>
      <c r="C57" s="40"/>
      <c r="D57" s="7"/>
      <c r="E57" s="12"/>
      <c r="F57" s="16"/>
      <c r="G57" s="17"/>
      <c r="H57" s="7"/>
      <c r="I57" s="7"/>
      <c r="J57" s="7"/>
      <c r="K57" s="3"/>
    </row>
    <row r="58" spans="1:11">
      <c r="A58" s="9"/>
      <c r="B58" s="9"/>
      <c r="C58" s="270" t="s">
        <v>7</v>
      </c>
      <c r="D58" s="271"/>
      <c r="E58" s="272"/>
      <c r="F58" s="273" t="s">
        <v>6</v>
      </c>
      <c r="G58" s="267"/>
      <c r="H58" s="241" t="s">
        <v>18</v>
      </c>
      <c r="I58" s="7"/>
      <c r="J58" s="7"/>
      <c r="K58" s="3"/>
    </row>
    <row r="59" spans="1:11">
      <c r="A59" s="9"/>
      <c r="B59" s="9"/>
      <c r="C59" s="266" t="s">
        <v>25</v>
      </c>
      <c r="D59" s="266"/>
      <c r="E59" s="266"/>
      <c r="F59" s="283">
        <v>0</v>
      </c>
      <c r="G59" s="283"/>
      <c r="H59" s="43">
        <f>F59/F61</f>
        <v>0</v>
      </c>
      <c r="I59" s="7"/>
      <c r="J59" s="7"/>
      <c r="K59" s="3"/>
    </row>
    <row r="60" spans="1:11">
      <c r="A60" s="9"/>
      <c r="B60" s="9"/>
      <c r="C60" s="266" t="s">
        <v>26</v>
      </c>
      <c r="D60" s="266"/>
      <c r="E60" s="266"/>
      <c r="F60" s="269">
        <v>1008930</v>
      </c>
      <c r="G60" s="269"/>
      <c r="H60" s="43">
        <f>F60/F61</f>
        <v>1</v>
      </c>
      <c r="I60" s="7"/>
      <c r="J60" s="7"/>
      <c r="K60" s="3"/>
    </row>
    <row r="61" spans="1:11">
      <c r="A61" s="9"/>
      <c r="B61" s="9"/>
      <c r="C61" s="7"/>
      <c r="D61" s="7" t="s">
        <v>24</v>
      </c>
      <c r="E61" s="7"/>
      <c r="F61" s="277">
        <f>SUM(F59:G60)</f>
        <v>1008930</v>
      </c>
      <c r="G61" s="277"/>
      <c r="H61" s="44">
        <f>SUM(H59:H60)</f>
        <v>1</v>
      </c>
      <c r="I61" s="7"/>
      <c r="J61" s="7"/>
      <c r="K61" s="3"/>
    </row>
    <row r="62" spans="1:11">
      <c r="A62" s="9"/>
      <c r="B62" s="9"/>
      <c r="C62" s="7"/>
      <c r="D62" s="3"/>
      <c r="E62" s="3"/>
      <c r="F62" s="3"/>
      <c r="G62" s="3"/>
      <c r="H62" s="239"/>
      <c r="I62" s="7"/>
      <c r="J62" s="7"/>
      <c r="K62" s="3"/>
    </row>
    <row r="63" spans="1:11">
      <c r="A63" s="9"/>
      <c r="B63" s="9"/>
      <c r="C63" s="7"/>
      <c r="D63" s="3"/>
      <c r="E63" s="278" t="s">
        <v>27</v>
      </c>
      <c r="F63" s="278"/>
      <c r="G63" s="278"/>
      <c r="H63" s="278"/>
      <c r="I63" s="7"/>
      <c r="J63" s="7"/>
      <c r="K63" s="3"/>
    </row>
    <row r="64" spans="1:11">
      <c r="A64" s="9"/>
      <c r="B64" s="9"/>
      <c r="C64" s="7"/>
      <c r="D64" s="56"/>
      <c r="E64" s="7"/>
      <c r="F64" s="7"/>
      <c r="G64" s="7"/>
      <c r="H64" s="7"/>
      <c r="I64" s="7"/>
      <c r="J64" s="7"/>
      <c r="K64" s="3"/>
    </row>
    <row r="65" spans="1:11">
      <c r="A65" s="7"/>
      <c r="B65" s="7"/>
      <c r="C65" s="7"/>
      <c r="D65" s="55" t="s">
        <v>28</v>
      </c>
      <c r="E65" s="275">
        <v>2020</v>
      </c>
      <c r="F65" s="276"/>
      <c r="G65" s="275">
        <v>2021</v>
      </c>
      <c r="H65" s="276"/>
      <c r="I65" s="7"/>
      <c r="J65" s="7"/>
      <c r="K65" s="3"/>
    </row>
    <row r="66" spans="1:11">
      <c r="A66" s="7"/>
      <c r="B66" s="7"/>
      <c r="C66" s="7"/>
      <c r="D66" s="54" t="s">
        <v>29</v>
      </c>
      <c r="E66" s="51" t="s">
        <v>30</v>
      </c>
      <c r="F66" s="51" t="s">
        <v>31</v>
      </c>
      <c r="G66" s="51" t="s">
        <v>30</v>
      </c>
      <c r="H66" s="51" t="s">
        <v>31</v>
      </c>
      <c r="I66" s="7"/>
      <c r="J66" s="7"/>
      <c r="K66" s="3"/>
    </row>
    <row r="67" spans="1:11">
      <c r="A67" s="7"/>
      <c r="B67" s="7"/>
      <c r="C67" s="7"/>
      <c r="D67" s="52"/>
      <c r="E67" s="28"/>
      <c r="F67" s="96"/>
      <c r="G67" s="28"/>
      <c r="H67" s="96"/>
      <c r="I67" s="7"/>
      <c r="J67" s="7"/>
      <c r="K67" s="3"/>
    </row>
    <row r="68" spans="1:11">
      <c r="A68" s="7"/>
      <c r="B68" s="7"/>
      <c r="C68" s="7"/>
      <c r="D68" s="53" t="s">
        <v>32</v>
      </c>
      <c r="E68" s="34">
        <v>417.84</v>
      </c>
      <c r="F68" s="180">
        <v>15</v>
      </c>
      <c r="G68" s="34">
        <v>1008.93</v>
      </c>
      <c r="H68" s="199">
        <v>32</v>
      </c>
      <c r="I68" s="7"/>
      <c r="J68" s="7"/>
      <c r="K68" s="3"/>
    </row>
    <row r="69" spans="1:11">
      <c r="A69" s="7"/>
      <c r="B69" s="7"/>
      <c r="C69" s="7"/>
      <c r="D69" s="7"/>
      <c r="E69" s="7"/>
      <c r="F69" s="7"/>
      <c r="G69" s="7"/>
      <c r="H69" s="7"/>
      <c r="I69" s="7"/>
      <c r="J69" s="7"/>
      <c r="K69" s="3"/>
    </row>
    <row r="70" spans="1:11">
      <c r="A70" s="7"/>
      <c r="B70" s="7"/>
      <c r="C70" s="7"/>
      <c r="D70" s="7"/>
      <c r="E70" s="58">
        <f>SUM(E68:E69)</f>
        <v>417.84</v>
      </c>
      <c r="F70" s="59">
        <f>SUM(F68:F69)</f>
        <v>15</v>
      </c>
      <c r="G70" s="58">
        <f>SUM(G68:G69)</f>
        <v>1008.93</v>
      </c>
      <c r="H70" s="59">
        <f>SUM(H68:H69)</f>
        <v>32</v>
      </c>
      <c r="I70" s="7"/>
      <c r="J70" s="7"/>
      <c r="K70" s="3"/>
    </row>
    <row r="71" spans="1:11">
      <c r="A71" s="7"/>
      <c r="B71" s="7"/>
      <c r="C71" s="7"/>
      <c r="D71" s="7"/>
      <c r="E71" s="7"/>
      <c r="F71" s="7"/>
      <c r="G71" s="7"/>
      <c r="H71" s="7"/>
      <c r="I71" s="7"/>
      <c r="J71" s="7"/>
    </row>
    <row r="72" spans="1:11">
      <c r="A72" s="7"/>
      <c r="B72" s="7"/>
      <c r="C72" s="7"/>
      <c r="D72" s="7"/>
      <c r="E72" s="7"/>
      <c r="F72" s="7"/>
      <c r="G72" s="7"/>
      <c r="H72" s="7"/>
      <c r="I72" s="7"/>
      <c r="J72" s="7"/>
    </row>
    <row r="73" spans="1:11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1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1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1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1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1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1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1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>
      <c r="A83" s="3"/>
      <c r="B83" s="3"/>
      <c r="C83" s="3"/>
      <c r="D83" s="3"/>
      <c r="E83" s="3"/>
      <c r="F83" s="3"/>
      <c r="G83" s="57"/>
      <c r="H83" s="3"/>
      <c r="I83" s="3"/>
      <c r="J83" s="3"/>
    </row>
    <row r="84" spans="1:10">
      <c r="A84" s="3"/>
      <c r="B84" s="3"/>
      <c r="C84" s="3"/>
      <c r="D84" s="3"/>
      <c r="E84" s="3"/>
      <c r="F84" s="3"/>
      <c r="G84" s="3"/>
      <c r="H84" s="3"/>
      <c r="I84" s="3"/>
      <c r="J84" s="3"/>
    </row>
  </sheetData>
  <mergeCells count="125">
    <mergeCell ref="H38:J38"/>
    <mergeCell ref="F33:G33"/>
    <mergeCell ref="F36:G36"/>
    <mergeCell ref="H32:J32"/>
    <mergeCell ref="H33:J33"/>
    <mergeCell ref="H36:J36"/>
    <mergeCell ref="F37:G37"/>
    <mergeCell ref="H37:J37"/>
    <mergeCell ref="E7:H7"/>
    <mergeCell ref="D35:E35"/>
    <mergeCell ref="F35:G35"/>
    <mergeCell ref="H34:J34"/>
    <mergeCell ref="H18:J18"/>
    <mergeCell ref="F14:G14"/>
    <mergeCell ref="F15:G15"/>
    <mergeCell ref="F16:G16"/>
    <mergeCell ref="F17:G17"/>
    <mergeCell ref="F18:G18"/>
    <mergeCell ref="F24:G24"/>
    <mergeCell ref="F25:G25"/>
    <mergeCell ref="F19:G19"/>
    <mergeCell ref="F26:G26"/>
    <mergeCell ref="H21:J21"/>
    <mergeCell ref="F21:G21"/>
    <mergeCell ref="H42:J42"/>
    <mergeCell ref="D46:E46"/>
    <mergeCell ref="F31:G31"/>
    <mergeCell ref="F59:G59"/>
    <mergeCell ref="C53:D53"/>
    <mergeCell ref="H30:J30"/>
    <mergeCell ref="D21:E21"/>
    <mergeCell ref="H27:J27"/>
    <mergeCell ref="H28:J28"/>
    <mergeCell ref="D25:E25"/>
    <mergeCell ref="F28:G28"/>
    <mergeCell ref="D24:E24"/>
    <mergeCell ref="D26:E26"/>
    <mergeCell ref="H35:J35"/>
    <mergeCell ref="D34:E34"/>
    <mergeCell ref="F34:G34"/>
    <mergeCell ref="H29:J29"/>
    <mergeCell ref="D22:E22"/>
    <mergeCell ref="F22:G22"/>
    <mergeCell ref="H22:J22"/>
    <mergeCell ref="D30:E30"/>
    <mergeCell ref="D23:E23"/>
    <mergeCell ref="D29:E29"/>
    <mergeCell ref="F29:G29"/>
    <mergeCell ref="E65:F65"/>
    <mergeCell ref="G65:H65"/>
    <mergeCell ref="F61:G61"/>
    <mergeCell ref="H13:J13"/>
    <mergeCell ref="H14:J14"/>
    <mergeCell ref="H15:J15"/>
    <mergeCell ref="H16:J16"/>
    <mergeCell ref="H17:J17"/>
    <mergeCell ref="D31:E31"/>
    <mergeCell ref="F23:G23"/>
    <mergeCell ref="E63:H63"/>
    <mergeCell ref="F60:G60"/>
    <mergeCell ref="C52:D52"/>
    <mergeCell ref="E52:F52"/>
    <mergeCell ref="C50:D50"/>
    <mergeCell ref="H43:J43"/>
    <mergeCell ref="D43:E43"/>
    <mergeCell ref="C59:E59"/>
    <mergeCell ref="E53:F53"/>
    <mergeCell ref="F44:G44"/>
    <mergeCell ref="H40:J40"/>
    <mergeCell ref="D39:E39"/>
    <mergeCell ref="F39:G39"/>
    <mergeCell ref="H39:J39"/>
    <mergeCell ref="C60:E60"/>
    <mergeCell ref="H31:J31"/>
    <mergeCell ref="F30:G30"/>
    <mergeCell ref="D42:E42"/>
    <mergeCell ref="D20:E20"/>
    <mergeCell ref="D19:E19"/>
    <mergeCell ref="F20:G20"/>
    <mergeCell ref="F43:G43"/>
    <mergeCell ref="D28:E28"/>
    <mergeCell ref="D27:E27"/>
    <mergeCell ref="F27:G27"/>
    <mergeCell ref="H26:J26"/>
    <mergeCell ref="H23:J23"/>
    <mergeCell ref="H24:J24"/>
    <mergeCell ref="H25:J25"/>
    <mergeCell ref="H19:J19"/>
    <mergeCell ref="H20:J20"/>
    <mergeCell ref="C58:E58"/>
    <mergeCell ref="F58:G58"/>
    <mergeCell ref="E49:F49"/>
    <mergeCell ref="E50:F50"/>
    <mergeCell ref="E55:F55"/>
    <mergeCell ref="C54:D54"/>
    <mergeCell ref="E54:F54"/>
    <mergeCell ref="D10:E10"/>
    <mergeCell ref="F10:G10"/>
    <mergeCell ref="H10:J10"/>
    <mergeCell ref="D11:E11"/>
    <mergeCell ref="H11:J11"/>
    <mergeCell ref="D16:E16"/>
    <mergeCell ref="F12:G12"/>
    <mergeCell ref="F11:G11"/>
    <mergeCell ref="F13:G13"/>
    <mergeCell ref="H12:J12"/>
    <mergeCell ref="C51:D51"/>
    <mergeCell ref="E51:F51"/>
    <mergeCell ref="C49:D49"/>
    <mergeCell ref="D12:E12"/>
    <mergeCell ref="D13:E13"/>
    <mergeCell ref="D14:E14"/>
    <mergeCell ref="D15:E15"/>
    <mergeCell ref="D17:E17"/>
    <mergeCell ref="D18:E18"/>
    <mergeCell ref="D38:E38"/>
    <mergeCell ref="F42:G42"/>
    <mergeCell ref="D40:E40"/>
    <mergeCell ref="F40:G40"/>
    <mergeCell ref="D32:E32"/>
    <mergeCell ref="D33:E33"/>
    <mergeCell ref="D36:E36"/>
    <mergeCell ref="F32:G32"/>
    <mergeCell ref="D37:E37"/>
    <mergeCell ref="F38:G38"/>
  </mergeCells>
  <phoneticPr fontId="0" type="noConversion"/>
  <pageMargins left="0.59055118110236227" right="0.75" top="1" bottom="1" header="0" footer="0"/>
  <pageSetup paperSize="9" scale="73" orientation="portrait" horizontalDpi="4294967293" verticalDpi="300" r:id="rId1"/>
  <headerFooter alignWithMargins="0"/>
  <colBreaks count="1" manualBreakCount="1">
    <brk id="10" max="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89"/>
  <sheetViews>
    <sheetView topLeftCell="A28" zoomScaleNormal="100" workbookViewId="0">
      <selection activeCell="F63" sqref="F63:G63"/>
    </sheetView>
  </sheetViews>
  <sheetFormatPr defaultColWidth="9.140625" defaultRowHeight="12.75"/>
  <cols>
    <col min="1" max="2" width="4.28515625" customWidth="1"/>
    <col min="3" max="10" width="12.42578125" customWidth="1"/>
    <col min="11" max="256" width="11.42578125" customWidth="1"/>
  </cols>
  <sheetData>
    <row r="1" spans="1:11">
      <c r="A1" s="3"/>
      <c r="B1" s="3"/>
      <c r="C1" s="4"/>
      <c r="D1" s="4"/>
      <c r="E1" s="4"/>
      <c r="F1" s="4"/>
      <c r="G1" s="4"/>
      <c r="H1" s="4"/>
      <c r="I1" s="4"/>
      <c r="J1" s="4"/>
      <c r="K1" s="3"/>
    </row>
    <row r="2" spans="1:11">
      <c r="A2" s="5"/>
      <c r="B2" s="5"/>
      <c r="C2" s="3"/>
      <c r="D2" s="3"/>
      <c r="E2" s="3"/>
      <c r="F2" s="3"/>
      <c r="G2" s="3"/>
      <c r="H2" s="3"/>
      <c r="I2" s="3"/>
      <c r="J2" s="3"/>
      <c r="K2" s="3"/>
    </row>
    <row r="3" spans="1:11">
      <c r="A3" s="5"/>
      <c r="B3" s="5"/>
      <c r="C3" s="3"/>
      <c r="D3" s="3"/>
      <c r="E3" s="3"/>
      <c r="F3" s="3"/>
      <c r="G3" s="3"/>
      <c r="H3" s="3"/>
      <c r="I3" s="3"/>
      <c r="J3" s="3"/>
      <c r="K3" s="3"/>
    </row>
    <row r="4" spans="1:11">
      <c r="A4" s="6"/>
      <c r="B4" s="6"/>
      <c r="C4" s="3"/>
      <c r="D4" s="3"/>
      <c r="E4" s="3"/>
      <c r="F4" s="3"/>
      <c r="G4" s="3"/>
      <c r="H4" s="3"/>
      <c r="I4" s="3"/>
      <c r="J4" s="3"/>
      <c r="K4" s="3"/>
    </row>
    <row r="5" spans="1:11">
      <c r="A5" s="5"/>
      <c r="B5" s="5"/>
      <c r="C5" s="3"/>
      <c r="D5" s="3"/>
      <c r="E5" s="3"/>
      <c r="F5" s="3"/>
      <c r="G5" s="3"/>
      <c r="H5" s="3"/>
      <c r="I5" s="3"/>
      <c r="J5" s="3"/>
      <c r="K5" s="3"/>
    </row>
    <row r="6" spans="1:11">
      <c r="A6" s="6"/>
      <c r="B6" s="6"/>
      <c r="C6" s="3"/>
      <c r="D6" s="3"/>
      <c r="E6" s="3"/>
      <c r="F6" s="3"/>
      <c r="G6" s="3"/>
      <c r="H6" s="3"/>
      <c r="I6" s="3"/>
      <c r="J6" s="3"/>
      <c r="K6" s="3"/>
    </row>
    <row r="7" spans="1:11">
      <c r="A7" s="6"/>
      <c r="B7" s="6"/>
      <c r="C7" s="3"/>
      <c r="D7" s="3"/>
      <c r="E7" s="284" t="s">
        <v>1</v>
      </c>
      <c r="F7" s="284"/>
      <c r="G7" s="284"/>
      <c r="H7" s="284"/>
      <c r="I7" s="237" t="s">
        <v>33</v>
      </c>
      <c r="J7" s="226">
        <f>CARÁTULA!$F$16</f>
        <v>2021</v>
      </c>
      <c r="K7" s="3"/>
    </row>
    <row r="8" spans="1:11">
      <c r="A8" s="6"/>
      <c r="B8" s="6"/>
      <c r="C8" s="3"/>
      <c r="D8" s="3"/>
      <c r="E8" s="3"/>
      <c r="F8" s="3"/>
      <c r="G8" s="3"/>
      <c r="H8" s="3"/>
      <c r="I8" s="3"/>
      <c r="J8" s="3"/>
      <c r="K8" s="3"/>
    </row>
    <row r="9" spans="1:11">
      <c r="A9" s="7"/>
      <c r="B9" s="7"/>
      <c r="C9" s="8"/>
      <c r="D9" s="8"/>
      <c r="E9" s="7"/>
      <c r="F9" s="8"/>
      <c r="G9" s="8"/>
      <c r="H9" s="8"/>
      <c r="I9" s="7"/>
      <c r="J9" s="7"/>
      <c r="K9" s="3"/>
    </row>
    <row r="10" spans="1:11">
      <c r="A10" s="9"/>
      <c r="B10" s="241" t="s">
        <v>3</v>
      </c>
      <c r="C10" s="241" t="s">
        <v>4</v>
      </c>
      <c r="D10" s="267" t="s">
        <v>5</v>
      </c>
      <c r="E10" s="267"/>
      <c r="F10" s="267" t="s">
        <v>6</v>
      </c>
      <c r="G10" s="267"/>
      <c r="H10" s="267" t="s">
        <v>7</v>
      </c>
      <c r="I10" s="267"/>
      <c r="J10" s="267"/>
      <c r="K10" s="3"/>
    </row>
    <row r="11" spans="1:11">
      <c r="A11" s="9"/>
      <c r="B11" s="184">
        <v>39</v>
      </c>
      <c r="C11" s="42">
        <v>44228</v>
      </c>
      <c r="D11" s="334" t="s">
        <v>8</v>
      </c>
      <c r="E11" s="334"/>
      <c r="F11" s="269">
        <v>42000</v>
      </c>
      <c r="G11" s="269"/>
      <c r="H11" s="266" t="s">
        <v>34</v>
      </c>
      <c r="I11" s="266"/>
      <c r="J11" s="266"/>
      <c r="K11" s="3"/>
    </row>
    <row r="12" spans="1:11">
      <c r="A12" s="9"/>
      <c r="B12" s="9">
        <v>40</v>
      </c>
      <c r="C12" s="42">
        <v>44228</v>
      </c>
      <c r="D12" s="335" t="s">
        <v>35</v>
      </c>
      <c r="E12" s="335"/>
      <c r="F12" s="269">
        <v>29280</v>
      </c>
      <c r="G12" s="269"/>
      <c r="H12" s="266" t="s">
        <v>34</v>
      </c>
      <c r="I12" s="266"/>
      <c r="J12" s="266"/>
      <c r="K12" s="3"/>
    </row>
    <row r="13" spans="1:11">
      <c r="A13" s="9"/>
      <c r="B13" s="9">
        <v>42</v>
      </c>
      <c r="C13" s="42">
        <v>44228</v>
      </c>
      <c r="D13" s="335" t="s">
        <v>36</v>
      </c>
      <c r="E13" s="335"/>
      <c r="F13" s="269">
        <v>30990</v>
      </c>
      <c r="G13" s="269"/>
      <c r="H13" s="266" t="s">
        <v>34</v>
      </c>
      <c r="I13" s="266"/>
      <c r="J13" s="266"/>
      <c r="K13" s="3"/>
    </row>
    <row r="14" spans="1:11">
      <c r="A14" s="9"/>
      <c r="B14" s="9">
        <v>43</v>
      </c>
      <c r="C14" s="42">
        <v>44229</v>
      </c>
      <c r="D14" s="335" t="s">
        <v>14</v>
      </c>
      <c r="E14" s="335"/>
      <c r="F14" s="269">
        <v>40290</v>
      </c>
      <c r="G14" s="269"/>
      <c r="H14" s="266" t="s">
        <v>34</v>
      </c>
      <c r="I14" s="266"/>
      <c r="J14" s="266"/>
      <c r="K14" s="3"/>
    </row>
    <row r="15" spans="1:11">
      <c r="A15" s="9"/>
      <c r="B15" s="9">
        <v>44</v>
      </c>
      <c r="C15" s="42">
        <v>44230</v>
      </c>
      <c r="D15" s="335" t="s">
        <v>8</v>
      </c>
      <c r="E15" s="335"/>
      <c r="F15" s="269">
        <v>39510</v>
      </c>
      <c r="G15" s="269"/>
      <c r="H15" s="266" t="s">
        <v>34</v>
      </c>
      <c r="I15" s="266"/>
      <c r="J15" s="266"/>
      <c r="K15" s="3"/>
    </row>
    <row r="16" spans="1:11">
      <c r="A16" s="9"/>
      <c r="B16" s="9">
        <v>45</v>
      </c>
      <c r="C16" s="42">
        <v>44231</v>
      </c>
      <c r="D16" s="335" t="s">
        <v>35</v>
      </c>
      <c r="E16" s="335"/>
      <c r="F16" s="269">
        <v>38250</v>
      </c>
      <c r="G16" s="269"/>
      <c r="H16" s="266" t="s">
        <v>34</v>
      </c>
      <c r="I16" s="266"/>
      <c r="J16" s="266"/>
      <c r="K16" s="3"/>
    </row>
    <row r="17" spans="1:11">
      <c r="A17" s="9"/>
      <c r="B17" s="9">
        <v>46</v>
      </c>
      <c r="C17" s="42">
        <v>44233</v>
      </c>
      <c r="D17" s="335" t="s">
        <v>35</v>
      </c>
      <c r="E17" s="335"/>
      <c r="F17" s="269">
        <v>12900</v>
      </c>
      <c r="G17" s="269"/>
      <c r="H17" s="266" t="s">
        <v>34</v>
      </c>
      <c r="I17" s="266"/>
      <c r="J17" s="266"/>
      <c r="K17" s="3"/>
    </row>
    <row r="18" spans="1:11">
      <c r="A18" s="9"/>
      <c r="B18" s="9">
        <v>47</v>
      </c>
      <c r="C18" s="42">
        <v>44232</v>
      </c>
      <c r="D18" s="335" t="s">
        <v>14</v>
      </c>
      <c r="E18" s="335"/>
      <c r="F18" s="269">
        <v>36960</v>
      </c>
      <c r="G18" s="269"/>
      <c r="H18" s="266" t="s">
        <v>34</v>
      </c>
      <c r="I18" s="266"/>
      <c r="J18" s="266"/>
      <c r="K18" s="3"/>
    </row>
    <row r="19" spans="1:11">
      <c r="A19" s="9"/>
      <c r="B19" s="9">
        <v>48</v>
      </c>
      <c r="C19" s="42">
        <v>44231</v>
      </c>
      <c r="D19" s="335" t="s">
        <v>11</v>
      </c>
      <c r="E19" s="335"/>
      <c r="F19" s="269">
        <v>15210</v>
      </c>
      <c r="G19" s="269"/>
      <c r="H19" s="266" t="s">
        <v>34</v>
      </c>
      <c r="I19" s="266"/>
      <c r="J19" s="266"/>
      <c r="K19" s="3"/>
    </row>
    <row r="20" spans="1:11">
      <c r="A20" s="9"/>
      <c r="B20" s="9">
        <v>49</v>
      </c>
      <c r="C20" s="42">
        <v>44232</v>
      </c>
      <c r="D20" s="335" t="s">
        <v>8</v>
      </c>
      <c r="E20" s="335"/>
      <c r="F20" s="269">
        <v>5700</v>
      </c>
      <c r="G20" s="269"/>
      <c r="H20" s="266" t="s">
        <v>34</v>
      </c>
      <c r="I20" s="266"/>
      <c r="J20" s="266"/>
      <c r="K20" s="3"/>
    </row>
    <row r="21" spans="1:11">
      <c r="A21" s="9"/>
      <c r="B21" s="9">
        <v>50</v>
      </c>
      <c r="C21" s="42">
        <v>44236</v>
      </c>
      <c r="D21" s="335" t="s">
        <v>35</v>
      </c>
      <c r="E21" s="335"/>
      <c r="F21" s="269">
        <v>22980</v>
      </c>
      <c r="G21" s="269"/>
      <c r="H21" s="266" t="s">
        <v>34</v>
      </c>
      <c r="I21" s="266"/>
      <c r="J21" s="266"/>
      <c r="K21" s="3"/>
    </row>
    <row r="22" spans="1:11">
      <c r="A22" s="9"/>
      <c r="B22" s="9">
        <v>51</v>
      </c>
      <c r="C22" s="42">
        <v>44237</v>
      </c>
      <c r="D22" s="335" t="s">
        <v>14</v>
      </c>
      <c r="E22" s="335"/>
      <c r="F22" s="269">
        <v>24600</v>
      </c>
      <c r="G22" s="269"/>
      <c r="H22" s="266" t="s">
        <v>34</v>
      </c>
      <c r="I22" s="266"/>
      <c r="J22" s="266"/>
      <c r="K22" s="3"/>
    </row>
    <row r="23" spans="1:11">
      <c r="A23" s="9"/>
      <c r="B23" s="9">
        <v>52</v>
      </c>
      <c r="C23" s="42">
        <v>44237</v>
      </c>
      <c r="D23" s="335" t="s">
        <v>11</v>
      </c>
      <c r="E23" s="335"/>
      <c r="F23" s="269">
        <v>26940</v>
      </c>
      <c r="G23" s="269"/>
      <c r="H23" s="266" t="s">
        <v>34</v>
      </c>
      <c r="I23" s="266"/>
      <c r="J23" s="266"/>
      <c r="K23" s="3"/>
    </row>
    <row r="24" spans="1:11">
      <c r="A24" s="9"/>
      <c r="B24" s="9">
        <v>53</v>
      </c>
      <c r="C24" s="42">
        <v>44240</v>
      </c>
      <c r="D24" s="335" t="s">
        <v>14</v>
      </c>
      <c r="E24" s="335"/>
      <c r="F24" s="269">
        <v>28230</v>
      </c>
      <c r="G24" s="269"/>
      <c r="H24" s="266" t="s">
        <v>34</v>
      </c>
      <c r="I24" s="266"/>
      <c r="J24" s="266"/>
      <c r="K24" s="3"/>
    </row>
    <row r="25" spans="1:11">
      <c r="A25" s="9"/>
      <c r="B25" s="9">
        <v>54</v>
      </c>
      <c r="C25" s="42">
        <v>44239</v>
      </c>
      <c r="D25" s="335" t="s">
        <v>35</v>
      </c>
      <c r="E25" s="335"/>
      <c r="F25" s="269">
        <v>30420</v>
      </c>
      <c r="G25" s="269"/>
      <c r="H25" s="266" t="s">
        <v>34</v>
      </c>
      <c r="I25" s="266"/>
      <c r="J25" s="266"/>
      <c r="K25" s="3"/>
    </row>
    <row r="26" spans="1:11">
      <c r="A26" s="9"/>
      <c r="B26" s="9">
        <v>55</v>
      </c>
      <c r="C26" s="42">
        <v>44236</v>
      </c>
      <c r="D26" s="335" t="s">
        <v>8</v>
      </c>
      <c r="E26" s="335"/>
      <c r="F26" s="269">
        <v>10560</v>
      </c>
      <c r="G26" s="269"/>
      <c r="H26" s="266" t="s">
        <v>34</v>
      </c>
      <c r="I26" s="266"/>
      <c r="J26" s="266"/>
      <c r="K26" s="3"/>
    </row>
    <row r="27" spans="1:11">
      <c r="A27" s="9"/>
      <c r="B27" s="9">
        <v>56</v>
      </c>
      <c r="C27" s="42">
        <v>44245</v>
      </c>
      <c r="D27" s="335" t="s">
        <v>14</v>
      </c>
      <c r="E27" s="335"/>
      <c r="F27" s="269">
        <v>19170</v>
      </c>
      <c r="G27" s="269"/>
      <c r="H27" s="266" t="s">
        <v>34</v>
      </c>
      <c r="I27" s="266"/>
      <c r="J27" s="266"/>
      <c r="K27" s="3"/>
    </row>
    <row r="28" spans="1:11">
      <c r="A28" s="9"/>
      <c r="B28" s="9">
        <v>57</v>
      </c>
      <c r="C28" s="42">
        <v>44245</v>
      </c>
      <c r="D28" s="335" t="s">
        <v>35</v>
      </c>
      <c r="E28" s="335"/>
      <c r="F28" s="269">
        <v>23880</v>
      </c>
      <c r="G28" s="269"/>
      <c r="H28" s="266" t="s">
        <v>34</v>
      </c>
      <c r="I28" s="266"/>
      <c r="J28" s="266"/>
      <c r="K28" s="3"/>
    </row>
    <row r="29" spans="1:11">
      <c r="A29" s="9"/>
      <c r="B29" s="9">
        <v>58</v>
      </c>
      <c r="C29" s="42">
        <v>44249</v>
      </c>
      <c r="D29" s="335" t="s">
        <v>8</v>
      </c>
      <c r="E29" s="335"/>
      <c r="F29" s="269">
        <v>45360</v>
      </c>
      <c r="G29" s="269"/>
      <c r="H29" s="266" t="s">
        <v>34</v>
      </c>
      <c r="I29" s="266"/>
      <c r="J29" s="266"/>
      <c r="K29" s="3"/>
    </row>
    <row r="30" spans="1:11">
      <c r="A30" s="9"/>
      <c r="B30" s="9">
        <v>59</v>
      </c>
      <c r="C30" s="42">
        <v>44248</v>
      </c>
      <c r="D30" s="335" t="s">
        <v>35</v>
      </c>
      <c r="E30" s="335"/>
      <c r="F30" s="269">
        <v>37500</v>
      </c>
      <c r="G30" s="269"/>
      <c r="H30" s="266" t="s">
        <v>34</v>
      </c>
      <c r="I30" s="266"/>
      <c r="J30" s="266"/>
      <c r="K30" s="3"/>
    </row>
    <row r="31" spans="1:11">
      <c r="A31" s="9"/>
      <c r="B31" s="9">
        <v>60</v>
      </c>
      <c r="C31" s="42">
        <v>44249</v>
      </c>
      <c r="D31" s="335" t="s">
        <v>14</v>
      </c>
      <c r="E31" s="335"/>
      <c r="F31" s="269">
        <v>29940</v>
      </c>
      <c r="G31" s="269"/>
      <c r="H31" s="266" t="s">
        <v>34</v>
      </c>
      <c r="I31" s="266"/>
      <c r="J31" s="266"/>
      <c r="K31" s="3"/>
    </row>
    <row r="32" spans="1:11">
      <c r="A32" s="9"/>
      <c r="B32" s="9">
        <v>61</v>
      </c>
      <c r="C32" s="42">
        <v>44252</v>
      </c>
      <c r="D32" s="335" t="s">
        <v>35</v>
      </c>
      <c r="E32" s="335"/>
      <c r="F32" s="269">
        <v>42630</v>
      </c>
      <c r="G32" s="269"/>
      <c r="H32" s="266" t="s">
        <v>34</v>
      </c>
      <c r="I32" s="266"/>
      <c r="J32" s="266"/>
      <c r="K32" s="3"/>
    </row>
    <row r="33" spans="1:11">
      <c r="A33" s="9"/>
      <c r="B33" s="9">
        <v>62</v>
      </c>
      <c r="C33" s="42">
        <v>44253</v>
      </c>
      <c r="D33" s="335" t="s">
        <v>8</v>
      </c>
      <c r="E33" s="335"/>
      <c r="F33" s="269">
        <v>27630</v>
      </c>
      <c r="G33" s="269"/>
      <c r="H33" s="266" t="s">
        <v>34</v>
      </c>
      <c r="I33" s="266"/>
      <c r="J33" s="266"/>
      <c r="K33" s="3"/>
    </row>
    <row r="34" spans="1:11">
      <c r="A34" s="9"/>
      <c r="B34" s="9">
        <v>63</v>
      </c>
      <c r="C34" s="42">
        <v>44252</v>
      </c>
      <c r="D34" s="338" t="s">
        <v>14</v>
      </c>
      <c r="E34" s="335"/>
      <c r="F34" s="269">
        <v>35610</v>
      </c>
      <c r="G34" s="269"/>
      <c r="H34" s="266" t="s">
        <v>34</v>
      </c>
      <c r="I34" s="266"/>
      <c r="J34" s="266"/>
      <c r="K34" s="3"/>
    </row>
    <row r="35" spans="1:11">
      <c r="A35" s="9"/>
      <c r="B35" s="9">
        <v>64</v>
      </c>
      <c r="C35" s="42">
        <v>44245</v>
      </c>
      <c r="D35" s="266" t="s">
        <v>11</v>
      </c>
      <c r="E35" s="266"/>
      <c r="F35" s="269">
        <v>23280</v>
      </c>
      <c r="G35" s="269"/>
      <c r="H35" s="266" t="s">
        <v>34</v>
      </c>
      <c r="I35" s="266"/>
      <c r="J35" s="266"/>
      <c r="K35" s="3"/>
    </row>
    <row r="36" spans="1:11">
      <c r="A36" s="9"/>
      <c r="B36" s="9"/>
      <c r="C36" s="42"/>
      <c r="D36" s="266"/>
      <c r="E36" s="266"/>
      <c r="F36" s="269"/>
      <c r="G36" s="269"/>
      <c r="H36" s="9"/>
      <c r="I36" s="9"/>
      <c r="J36" s="9"/>
      <c r="K36" s="3"/>
    </row>
    <row r="37" spans="1:11">
      <c r="A37" s="9"/>
      <c r="B37" s="9"/>
      <c r="C37" s="42"/>
      <c r="D37" s="266"/>
      <c r="E37" s="266"/>
      <c r="F37" s="285"/>
      <c r="G37" s="285"/>
      <c r="H37" s="266"/>
      <c r="I37" s="266"/>
      <c r="J37" s="266"/>
      <c r="K37" s="3"/>
    </row>
    <row r="38" spans="1:11">
      <c r="A38" s="9"/>
      <c r="B38" s="9"/>
      <c r="C38" s="42"/>
      <c r="D38" s="266"/>
      <c r="E38" s="266"/>
      <c r="F38" s="285"/>
      <c r="G38" s="285"/>
      <c r="H38" s="266"/>
      <c r="I38" s="266"/>
      <c r="J38" s="266"/>
      <c r="K38" s="3"/>
    </row>
    <row r="39" spans="1:11">
      <c r="A39" s="9"/>
      <c r="B39" s="9"/>
      <c r="C39" s="42"/>
      <c r="D39" s="266"/>
      <c r="E39" s="266"/>
      <c r="F39" s="285"/>
      <c r="G39" s="285"/>
      <c r="H39" s="266"/>
      <c r="I39" s="266"/>
      <c r="J39" s="266"/>
      <c r="K39" s="3"/>
    </row>
    <row r="40" spans="1:11">
      <c r="A40" s="9"/>
      <c r="B40" s="9"/>
      <c r="C40" s="42"/>
      <c r="D40" s="266"/>
      <c r="E40" s="266"/>
      <c r="F40" s="285"/>
      <c r="G40" s="285"/>
      <c r="H40" s="266"/>
      <c r="I40" s="266"/>
      <c r="J40" s="266"/>
      <c r="K40" s="3"/>
    </row>
    <row r="41" spans="1:11">
      <c r="A41" s="9"/>
      <c r="B41" s="9"/>
      <c r="C41" s="42"/>
      <c r="D41" s="266"/>
      <c r="E41" s="266"/>
      <c r="F41" s="285"/>
      <c r="G41" s="285"/>
      <c r="H41" s="266"/>
      <c r="I41" s="266"/>
      <c r="J41" s="266"/>
      <c r="K41" s="3"/>
    </row>
    <row r="42" spans="1:11">
      <c r="A42" s="9"/>
      <c r="B42" s="9"/>
      <c r="C42" s="42"/>
      <c r="D42" s="266"/>
      <c r="E42" s="266"/>
      <c r="F42" s="285"/>
      <c r="G42" s="285"/>
      <c r="H42" s="266"/>
      <c r="I42" s="266"/>
      <c r="J42" s="266"/>
      <c r="K42" s="3"/>
    </row>
    <row r="43" spans="1:11">
      <c r="A43" s="9"/>
      <c r="B43" s="9"/>
      <c r="C43" s="42"/>
      <c r="D43" s="266"/>
      <c r="E43" s="266"/>
      <c r="F43" s="285"/>
      <c r="G43" s="285"/>
      <c r="H43" s="266"/>
      <c r="I43" s="266"/>
      <c r="J43" s="266"/>
      <c r="K43" s="3"/>
    </row>
    <row r="44" spans="1:11">
      <c r="A44" s="9"/>
      <c r="B44" s="9"/>
      <c r="C44" s="42"/>
      <c r="D44" s="266"/>
      <c r="E44" s="266"/>
      <c r="F44" s="286"/>
      <c r="G44" s="286"/>
      <c r="H44" s="266"/>
      <c r="I44" s="266"/>
      <c r="J44" s="266"/>
      <c r="K44" s="3"/>
    </row>
    <row r="45" spans="1:11">
      <c r="A45" s="9"/>
      <c r="B45" s="9"/>
      <c r="C45" s="42"/>
      <c r="D45" s="9"/>
      <c r="E45" s="9"/>
      <c r="F45" s="242"/>
      <c r="G45" s="242"/>
      <c r="H45" s="9"/>
      <c r="I45" s="9"/>
      <c r="J45" s="9"/>
      <c r="K45" s="3"/>
    </row>
    <row r="46" spans="1:11">
      <c r="A46" s="9"/>
      <c r="B46" s="9"/>
      <c r="C46" s="11"/>
      <c r="D46" s="10"/>
      <c r="E46" s="10"/>
      <c r="F46" s="280">
        <f>SUM(F11:G44)</f>
        <v>719820</v>
      </c>
      <c r="G46" s="281"/>
      <c r="H46" s="18"/>
      <c r="I46" s="18"/>
      <c r="J46" s="18"/>
      <c r="K46" s="3"/>
    </row>
    <row r="47" spans="1:11">
      <c r="A47" s="9"/>
      <c r="B47" s="9"/>
      <c r="C47" s="7"/>
      <c r="D47" s="7"/>
      <c r="E47" s="13"/>
      <c r="F47" s="7"/>
      <c r="G47" s="7"/>
      <c r="H47" s="7"/>
      <c r="I47" s="7"/>
      <c r="J47" s="7"/>
      <c r="K47" s="3"/>
    </row>
    <row r="48" spans="1:11">
      <c r="A48" s="9"/>
      <c r="B48" s="9"/>
      <c r="C48" s="7"/>
      <c r="D48" s="282" t="s">
        <v>15</v>
      </c>
      <c r="E48" s="282"/>
      <c r="F48" s="7"/>
      <c r="G48" s="41">
        <f>F46/1000</f>
        <v>719.82</v>
      </c>
      <c r="H48" s="7"/>
      <c r="I48" s="12"/>
      <c r="J48" s="7"/>
      <c r="K48" s="3"/>
    </row>
    <row r="49" spans="1:11">
      <c r="A49" s="9"/>
      <c r="B49" s="9"/>
      <c r="C49" s="7"/>
      <c r="D49" s="7"/>
      <c r="E49" s="13"/>
      <c r="F49" s="7"/>
      <c r="G49" s="7"/>
      <c r="H49" s="7"/>
      <c r="I49" s="12"/>
      <c r="J49" s="7"/>
      <c r="K49" s="3"/>
    </row>
    <row r="50" spans="1:11">
      <c r="A50" s="9"/>
      <c r="B50" s="9"/>
      <c r="C50" s="7"/>
      <c r="D50" s="7"/>
      <c r="E50" s="7"/>
      <c r="F50" s="7"/>
      <c r="G50" s="7"/>
      <c r="H50" s="7"/>
      <c r="I50" s="7"/>
      <c r="J50" s="7"/>
      <c r="K50" s="3"/>
    </row>
    <row r="51" spans="1:11">
      <c r="A51" s="9"/>
      <c r="B51" s="9"/>
      <c r="C51" s="267" t="s">
        <v>16</v>
      </c>
      <c r="D51" s="267"/>
      <c r="E51" s="267" t="s">
        <v>17</v>
      </c>
      <c r="F51" s="267"/>
      <c r="G51" s="241" t="s">
        <v>18</v>
      </c>
      <c r="H51" s="241" t="s">
        <v>19</v>
      </c>
      <c r="I51" s="7"/>
      <c r="J51" s="7"/>
      <c r="K51" s="3"/>
    </row>
    <row r="52" spans="1:11">
      <c r="A52" s="9"/>
      <c r="B52" s="9"/>
      <c r="C52" s="279" t="s">
        <v>20</v>
      </c>
      <c r="D52" s="279"/>
      <c r="E52" s="336">
        <f>F14+F18+F22+F24+F27+F31+F34</f>
        <v>214800</v>
      </c>
      <c r="F52" s="336"/>
      <c r="G52" s="43">
        <f>E52/E57</f>
        <v>0.29840793531716264</v>
      </c>
      <c r="H52" s="45">
        <v>7</v>
      </c>
      <c r="I52" s="118"/>
      <c r="J52" s="7"/>
      <c r="K52" s="3"/>
    </row>
    <row r="53" spans="1:11">
      <c r="A53" s="9"/>
      <c r="B53" s="9"/>
      <c r="C53" s="266" t="s">
        <v>21</v>
      </c>
      <c r="D53" s="266"/>
      <c r="E53" s="336">
        <v>283050</v>
      </c>
      <c r="F53" s="336"/>
      <c r="G53" s="43">
        <f>E53/E57</f>
        <v>0.39322330582645659</v>
      </c>
      <c r="H53" s="45">
        <v>10</v>
      </c>
      <c r="I53" s="7"/>
      <c r="J53" s="7"/>
      <c r="K53" s="3"/>
    </row>
    <row r="54" spans="1:11">
      <c r="A54" s="9"/>
      <c r="B54" s="9"/>
      <c r="C54" s="266" t="s">
        <v>22</v>
      </c>
      <c r="D54" s="266"/>
      <c r="E54" s="336">
        <v>125550</v>
      </c>
      <c r="F54" s="336"/>
      <c r="G54" s="43">
        <f>E54/E57</f>
        <v>0.1744186046511628</v>
      </c>
      <c r="H54" s="45">
        <v>4</v>
      </c>
      <c r="I54" s="7"/>
      <c r="J54" s="7"/>
      <c r="K54" s="3"/>
    </row>
    <row r="55" spans="1:11">
      <c r="A55" s="9"/>
      <c r="B55" s="9"/>
      <c r="C55" s="266" t="s">
        <v>23</v>
      </c>
      <c r="D55" s="266"/>
      <c r="E55" s="269">
        <f>F13+F19+F23+F35</f>
        <v>96420</v>
      </c>
      <c r="F55" s="269"/>
      <c r="G55" s="43">
        <f>E55/E57</f>
        <v>0.13395015420521797</v>
      </c>
      <c r="H55" s="45">
        <v>4</v>
      </c>
      <c r="I55" s="7"/>
      <c r="J55" s="7"/>
      <c r="K55" s="3"/>
    </row>
    <row r="56" spans="1:11">
      <c r="A56" s="9"/>
      <c r="B56" s="9"/>
      <c r="C56" s="266" t="s">
        <v>37</v>
      </c>
      <c r="D56" s="266"/>
      <c r="E56" s="274">
        <v>0</v>
      </c>
      <c r="F56" s="274"/>
      <c r="G56" s="43">
        <f>E56/E57</f>
        <v>0</v>
      </c>
      <c r="H56" s="45">
        <v>0</v>
      </c>
      <c r="I56" s="7"/>
      <c r="J56" s="7"/>
      <c r="K56" s="3"/>
    </row>
    <row r="57" spans="1:11">
      <c r="A57" s="9"/>
      <c r="B57" s="9"/>
      <c r="C57" s="14"/>
      <c r="D57" s="238" t="s">
        <v>24</v>
      </c>
      <c r="E57" s="337">
        <f>SUM(E52:F56)</f>
        <v>719820</v>
      </c>
      <c r="F57" s="337"/>
      <c r="G57" s="44">
        <f>SUM(G52:G56)</f>
        <v>0.99999999999999989</v>
      </c>
      <c r="H57" s="46">
        <f>SUM(H52:H56)</f>
        <v>25</v>
      </c>
      <c r="I57" s="7"/>
      <c r="J57" s="7"/>
      <c r="K57" s="3"/>
    </row>
    <row r="58" spans="1:11">
      <c r="A58" s="9"/>
      <c r="B58" s="9"/>
      <c r="C58" s="15"/>
      <c r="D58" s="15"/>
      <c r="E58" s="10"/>
      <c r="F58" s="10"/>
      <c r="G58" s="10"/>
      <c r="H58" s="7"/>
      <c r="I58" s="7"/>
      <c r="J58" s="7"/>
      <c r="K58" s="3"/>
    </row>
    <row r="59" spans="1:11">
      <c r="A59" s="9"/>
      <c r="B59" s="9"/>
      <c r="C59" s="15"/>
      <c r="D59" s="15"/>
      <c r="E59" s="10"/>
      <c r="F59" s="10"/>
      <c r="G59" s="10"/>
      <c r="H59" s="7"/>
      <c r="I59" s="7"/>
      <c r="J59" s="7"/>
      <c r="K59" s="3"/>
    </row>
    <row r="60" spans="1:11">
      <c r="A60" s="9"/>
      <c r="B60" s="9"/>
      <c r="C60" s="40"/>
      <c r="D60" s="7"/>
      <c r="E60" s="12"/>
      <c r="F60" s="16"/>
      <c r="G60" s="17"/>
      <c r="H60" s="7"/>
      <c r="I60" s="7"/>
      <c r="J60" s="12"/>
      <c r="K60" s="3"/>
    </row>
    <row r="61" spans="1:11">
      <c r="A61" s="9"/>
      <c r="B61" s="9"/>
      <c r="C61" s="270" t="s">
        <v>7</v>
      </c>
      <c r="D61" s="271"/>
      <c r="E61" s="272"/>
      <c r="F61" s="273" t="s">
        <v>6</v>
      </c>
      <c r="G61" s="267"/>
      <c r="H61" s="241" t="s">
        <v>18</v>
      </c>
      <c r="I61" s="7"/>
      <c r="J61" s="7"/>
      <c r="K61" s="3"/>
    </row>
    <row r="62" spans="1:11">
      <c r="A62" s="9"/>
      <c r="B62" s="9"/>
      <c r="C62" s="266" t="s">
        <v>25</v>
      </c>
      <c r="D62" s="266"/>
      <c r="E62" s="266"/>
      <c r="F62" s="283">
        <v>0</v>
      </c>
      <c r="G62" s="283"/>
      <c r="H62" s="43">
        <f>F62/F64</f>
        <v>0</v>
      </c>
      <c r="I62" s="118"/>
      <c r="J62" s="7"/>
      <c r="K62" s="3"/>
    </row>
    <row r="63" spans="1:11">
      <c r="A63" s="9"/>
      <c r="B63" s="9"/>
      <c r="C63" s="266" t="s">
        <v>26</v>
      </c>
      <c r="D63" s="266"/>
      <c r="E63" s="266"/>
      <c r="F63" s="274">
        <v>719820</v>
      </c>
      <c r="G63" s="274"/>
      <c r="H63" s="43">
        <f>F63/F64</f>
        <v>1</v>
      </c>
      <c r="I63" s="7"/>
      <c r="J63" s="7"/>
      <c r="K63" s="3"/>
    </row>
    <row r="64" spans="1:11">
      <c r="A64" s="9"/>
      <c r="B64" s="9"/>
      <c r="C64" s="7"/>
      <c r="D64" s="7" t="s">
        <v>24</v>
      </c>
      <c r="E64" s="7"/>
      <c r="F64" s="277">
        <f>SUM(F62:G63)</f>
        <v>719820</v>
      </c>
      <c r="G64" s="277"/>
      <c r="H64" s="44">
        <f>SUM(H62:H63)</f>
        <v>1</v>
      </c>
      <c r="I64" s="12"/>
      <c r="J64" s="7"/>
      <c r="K64" s="3"/>
    </row>
    <row r="65" spans="1:11">
      <c r="A65" s="9"/>
      <c r="B65" s="9"/>
      <c r="C65" s="7"/>
      <c r="D65" s="7"/>
      <c r="E65" s="7"/>
      <c r="F65" s="47"/>
      <c r="G65" s="47"/>
      <c r="H65" s="49"/>
      <c r="I65" s="7"/>
      <c r="J65" s="7"/>
      <c r="K65" s="3"/>
    </row>
    <row r="66" spans="1:11">
      <c r="A66" s="9"/>
      <c r="B66" s="9"/>
      <c r="C66" s="7"/>
      <c r="D66" s="7"/>
      <c r="E66" s="7"/>
      <c r="F66" s="47"/>
      <c r="G66" s="47"/>
      <c r="H66" s="49"/>
      <c r="I66" s="7"/>
      <c r="J66" s="7"/>
      <c r="K66" s="3"/>
    </row>
    <row r="67" spans="1:11">
      <c r="A67" s="9"/>
      <c r="B67" s="9"/>
      <c r="C67" s="7"/>
      <c r="D67" s="3"/>
      <c r="E67" s="278" t="s">
        <v>27</v>
      </c>
      <c r="F67" s="278"/>
      <c r="G67" s="278"/>
      <c r="H67" s="278"/>
      <c r="I67" s="7"/>
      <c r="J67" s="7"/>
      <c r="K67" s="3"/>
    </row>
    <row r="68" spans="1:11">
      <c r="A68" s="9"/>
      <c r="B68" s="9"/>
      <c r="C68" s="7"/>
      <c r="D68" s="56"/>
      <c r="E68" s="7"/>
      <c r="F68" s="7"/>
      <c r="G68" s="7"/>
      <c r="H68" s="7"/>
      <c r="I68" s="7"/>
      <c r="J68" s="7"/>
      <c r="K68" s="3"/>
    </row>
    <row r="69" spans="1:11">
      <c r="A69" s="7"/>
      <c r="B69" s="7"/>
      <c r="C69" s="7"/>
      <c r="D69" s="55" t="s">
        <v>28</v>
      </c>
      <c r="E69" s="275">
        <v>2020</v>
      </c>
      <c r="F69" s="276"/>
      <c r="G69" s="275">
        <v>2021</v>
      </c>
      <c r="H69" s="276"/>
      <c r="I69" s="7"/>
      <c r="J69" s="7"/>
      <c r="K69" s="3"/>
    </row>
    <row r="70" spans="1:11">
      <c r="A70" s="7"/>
      <c r="B70" s="7"/>
      <c r="C70" s="7"/>
      <c r="D70" s="54" t="s">
        <v>29</v>
      </c>
      <c r="E70" s="51" t="s">
        <v>30</v>
      </c>
      <c r="F70" s="51" t="s">
        <v>31</v>
      </c>
      <c r="G70" s="51" t="s">
        <v>30</v>
      </c>
      <c r="H70" s="51" t="s">
        <v>31</v>
      </c>
      <c r="I70" s="7"/>
      <c r="J70" s="7"/>
      <c r="K70" s="3"/>
    </row>
    <row r="71" spans="1:11">
      <c r="A71" s="7"/>
      <c r="B71" s="7"/>
      <c r="C71" s="7"/>
      <c r="D71" s="52"/>
      <c r="E71" s="28"/>
      <c r="F71" s="29"/>
      <c r="G71" s="28"/>
      <c r="H71" s="29"/>
      <c r="I71" s="7"/>
      <c r="J71" s="7"/>
      <c r="K71" s="3"/>
    </row>
    <row r="72" spans="1:11">
      <c r="A72" s="7"/>
      <c r="B72" s="7"/>
      <c r="C72" s="7"/>
      <c r="D72" s="83" t="s">
        <v>32</v>
      </c>
      <c r="E72" s="84">
        <f>'ENE 2021'!$E$68</f>
        <v>417.84</v>
      </c>
      <c r="F72" s="85">
        <f>'ENE 2021'!F68</f>
        <v>15</v>
      </c>
      <c r="G72" s="84">
        <f>'ENE 2021'!G46</f>
        <v>1008.93</v>
      </c>
      <c r="H72" s="85">
        <f>'ENE 2021'!H55</f>
        <v>32</v>
      </c>
      <c r="I72" s="7"/>
      <c r="J72" s="7"/>
      <c r="K72" s="3"/>
    </row>
    <row r="73" spans="1:11">
      <c r="A73" s="7"/>
      <c r="B73" s="7"/>
      <c r="C73" s="7"/>
      <c r="D73" s="53" t="s">
        <v>38</v>
      </c>
      <c r="E73" s="34">
        <v>591.57000000000005</v>
      </c>
      <c r="F73" s="35">
        <v>22</v>
      </c>
      <c r="G73" s="34">
        <v>719.82</v>
      </c>
      <c r="H73" s="173">
        <v>25</v>
      </c>
      <c r="I73" s="7"/>
      <c r="J73" s="7"/>
      <c r="K73" s="3"/>
    </row>
    <row r="74" spans="1:11">
      <c r="A74" s="7"/>
      <c r="B74" s="7"/>
      <c r="C74" s="7"/>
      <c r="D74" s="7"/>
      <c r="E74" s="7"/>
      <c r="F74" s="7"/>
      <c r="G74" s="7"/>
      <c r="H74" s="7"/>
      <c r="I74" s="7"/>
      <c r="J74" s="7"/>
      <c r="K74" s="3"/>
    </row>
    <row r="75" spans="1:11">
      <c r="A75" s="7"/>
      <c r="B75" s="7"/>
      <c r="C75" s="7"/>
      <c r="D75" s="7"/>
      <c r="E75" s="58">
        <f>SUM(E72:E74)</f>
        <v>1009.4100000000001</v>
      </c>
      <c r="F75" s="59">
        <f>SUM(F72:F74)</f>
        <v>37</v>
      </c>
      <c r="G75" s="58">
        <f>SUM(G72:G73)</f>
        <v>1728.75</v>
      </c>
      <c r="H75" s="59">
        <f>SUM(H72:H73)</f>
        <v>57</v>
      </c>
      <c r="I75" s="7"/>
      <c r="J75" s="7"/>
      <c r="K75" s="3"/>
    </row>
    <row r="76" spans="1:11">
      <c r="A76" s="7"/>
      <c r="B76" s="7"/>
      <c r="C76" s="7"/>
      <c r="D76" s="7"/>
      <c r="E76" s="7"/>
      <c r="F76" s="7"/>
      <c r="G76" s="7"/>
      <c r="H76" s="7"/>
      <c r="I76" s="7"/>
      <c r="J76" s="7"/>
    </row>
    <row r="77" spans="1:11">
      <c r="A77" s="7"/>
      <c r="B77" s="7"/>
      <c r="C77" s="7"/>
      <c r="D77" s="7"/>
      <c r="E77" s="7"/>
      <c r="F77" s="7"/>
      <c r="G77" s="7"/>
      <c r="H77" s="7"/>
      <c r="I77" s="7"/>
      <c r="J77" s="7"/>
    </row>
    <row r="78" spans="1:11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1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1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>
      <c r="A89" s="3"/>
      <c r="B89" s="3"/>
      <c r="C89" s="3"/>
      <c r="D89" s="3"/>
      <c r="E89" s="3"/>
      <c r="F89" s="3"/>
      <c r="G89" s="3"/>
      <c r="H89" s="3"/>
      <c r="I89" s="3"/>
      <c r="J89" s="3"/>
    </row>
  </sheetData>
  <mergeCells count="130">
    <mergeCell ref="E7:H7"/>
    <mergeCell ref="F35:G35"/>
    <mergeCell ref="D35:E35"/>
    <mergeCell ref="H35:J35"/>
    <mergeCell ref="D29:E29"/>
    <mergeCell ref="F29:G29"/>
    <mergeCell ref="H29:J29"/>
    <mergeCell ref="D31:E31"/>
    <mergeCell ref="F31:G31"/>
    <mergeCell ref="H31:J31"/>
    <mergeCell ref="D33:E33"/>
    <mergeCell ref="F33:G33"/>
    <mergeCell ref="H33:J33"/>
    <mergeCell ref="D21:E21"/>
    <mergeCell ref="F21:G21"/>
    <mergeCell ref="H21:J21"/>
    <mergeCell ref="D22:E22"/>
    <mergeCell ref="D26:E26"/>
    <mergeCell ref="F27:G27"/>
    <mergeCell ref="H27:J27"/>
    <mergeCell ref="F22:G22"/>
    <mergeCell ref="H24:J24"/>
    <mergeCell ref="D25:E25"/>
    <mergeCell ref="F25:G25"/>
    <mergeCell ref="H25:J25"/>
    <mergeCell ref="D23:E23"/>
    <mergeCell ref="F23:G23"/>
    <mergeCell ref="H23:J23"/>
    <mergeCell ref="D28:E28"/>
    <mergeCell ref="D34:E34"/>
    <mergeCell ref="F34:G34"/>
    <mergeCell ref="H34:J34"/>
    <mergeCell ref="F28:G28"/>
    <mergeCell ref="H28:J28"/>
    <mergeCell ref="D30:E30"/>
    <mergeCell ref="D32:E32"/>
    <mergeCell ref="F32:G32"/>
    <mergeCell ref="H32:J32"/>
    <mergeCell ref="F30:G30"/>
    <mergeCell ref="H30:J30"/>
    <mergeCell ref="F26:G26"/>
    <mergeCell ref="H26:J26"/>
    <mergeCell ref="D27:E27"/>
    <mergeCell ref="H17:J17"/>
    <mergeCell ref="D20:E20"/>
    <mergeCell ref="F20:G20"/>
    <mergeCell ref="H20:J20"/>
    <mergeCell ref="F19:G19"/>
    <mergeCell ref="H19:J19"/>
    <mergeCell ref="D17:E17"/>
    <mergeCell ref="F17:G17"/>
    <mergeCell ref="D19:E19"/>
    <mergeCell ref="D18:E18"/>
    <mergeCell ref="F18:G18"/>
    <mergeCell ref="H18:J18"/>
    <mergeCell ref="H22:J22"/>
    <mergeCell ref="D24:E24"/>
    <mergeCell ref="F24:G24"/>
    <mergeCell ref="H13:J13"/>
    <mergeCell ref="D10:E10"/>
    <mergeCell ref="F10:G10"/>
    <mergeCell ref="H10:J10"/>
    <mergeCell ref="D11:E11"/>
    <mergeCell ref="F11:G11"/>
    <mergeCell ref="H11:J11"/>
    <mergeCell ref="H14:J14"/>
    <mergeCell ref="F15:G15"/>
    <mergeCell ref="H15:J15"/>
    <mergeCell ref="D12:E12"/>
    <mergeCell ref="F12:G12"/>
    <mergeCell ref="D14:E14"/>
    <mergeCell ref="F14:G14"/>
    <mergeCell ref="H12:J12"/>
    <mergeCell ref="D13:E13"/>
    <mergeCell ref="F13:G13"/>
    <mergeCell ref="D16:E16"/>
    <mergeCell ref="F16:G16"/>
    <mergeCell ref="H16:J16"/>
    <mergeCell ref="D15:E15"/>
    <mergeCell ref="E67:H67"/>
    <mergeCell ref="E69:F69"/>
    <mergeCell ref="G69:H69"/>
    <mergeCell ref="F46:G46"/>
    <mergeCell ref="D48:E48"/>
    <mergeCell ref="E51:F51"/>
    <mergeCell ref="C51:D51"/>
    <mergeCell ref="C55:D55"/>
    <mergeCell ref="E52:F52"/>
    <mergeCell ref="C53:D53"/>
    <mergeCell ref="F64:G64"/>
    <mergeCell ref="E53:F53"/>
    <mergeCell ref="E55:F55"/>
    <mergeCell ref="E56:F56"/>
    <mergeCell ref="C56:D56"/>
    <mergeCell ref="C62:E62"/>
    <mergeCell ref="C63:E63"/>
    <mergeCell ref="C54:D54"/>
    <mergeCell ref="E54:F54"/>
    <mergeCell ref="E57:F57"/>
    <mergeCell ref="C61:E61"/>
    <mergeCell ref="F61:G61"/>
    <mergeCell ref="D36:E36"/>
    <mergeCell ref="F36:G36"/>
    <mergeCell ref="D37:E37"/>
    <mergeCell ref="F37:G37"/>
    <mergeCell ref="F44:G44"/>
    <mergeCell ref="F43:G43"/>
    <mergeCell ref="D39:E39"/>
    <mergeCell ref="F39:G39"/>
    <mergeCell ref="F63:G63"/>
    <mergeCell ref="D40:E40"/>
    <mergeCell ref="F40:G40"/>
    <mergeCell ref="C52:D52"/>
    <mergeCell ref="H37:J37"/>
    <mergeCell ref="H38:J38"/>
    <mergeCell ref="F38:G38"/>
    <mergeCell ref="D38:E38"/>
    <mergeCell ref="D42:E42"/>
    <mergeCell ref="F62:G62"/>
    <mergeCell ref="H39:J39"/>
    <mergeCell ref="H40:J40"/>
    <mergeCell ref="D44:E44"/>
    <mergeCell ref="F41:G41"/>
    <mergeCell ref="F42:G42"/>
    <mergeCell ref="H42:J42"/>
    <mergeCell ref="D41:E41"/>
    <mergeCell ref="H41:J41"/>
    <mergeCell ref="H43:J43"/>
    <mergeCell ref="H44:J44"/>
    <mergeCell ref="D43:E43"/>
  </mergeCells>
  <phoneticPr fontId="0" type="noConversion"/>
  <pageMargins left="0.59055118110236227" right="0.75" top="1" bottom="1" header="0" footer="0"/>
  <pageSetup paperSize="9" scale="68" orientation="portrait" horizontalDpi="4294967293" verticalDpi="300" r:id="rId1"/>
  <headerFooter alignWithMargins="0"/>
  <rowBreaks count="1" manualBreakCount="1">
    <brk id="82" max="9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82"/>
  <sheetViews>
    <sheetView topLeftCell="A16" zoomScaleNormal="100" workbookViewId="0">
      <selection activeCell="F55" sqref="F55:G55"/>
    </sheetView>
  </sheetViews>
  <sheetFormatPr defaultColWidth="9.140625" defaultRowHeight="12.75"/>
  <cols>
    <col min="1" max="2" width="4.28515625" customWidth="1"/>
    <col min="3" max="6" width="12.42578125" customWidth="1"/>
    <col min="7" max="7" width="14.28515625" customWidth="1"/>
    <col min="8" max="8" width="11.42578125" customWidth="1"/>
    <col min="9" max="9" width="13.140625" bestFit="1" customWidth="1"/>
    <col min="10" max="10" width="15.85546875" customWidth="1"/>
    <col min="11" max="11" width="11.42578125" customWidth="1"/>
    <col min="12" max="12" width="11.7109375" bestFit="1" customWidth="1"/>
    <col min="13" max="256" width="11.42578125" customWidth="1"/>
  </cols>
  <sheetData>
    <row r="1" spans="1:11">
      <c r="A1" s="3"/>
      <c r="B1" s="3"/>
      <c r="C1" s="4"/>
      <c r="D1" s="4"/>
      <c r="E1" s="4"/>
      <c r="F1" s="4"/>
      <c r="G1" s="4"/>
      <c r="H1" s="4"/>
      <c r="I1" s="4"/>
      <c r="J1" s="4"/>
      <c r="K1" s="3"/>
    </row>
    <row r="2" spans="1:11">
      <c r="A2" s="5"/>
      <c r="B2" s="5"/>
      <c r="C2" s="3"/>
      <c r="D2" s="3"/>
      <c r="E2" s="3"/>
      <c r="F2" s="3"/>
      <c r="G2" s="3"/>
      <c r="H2" s="3"/>
      <c r="I2" s="3"/>
      <c r="J2" s="3"/>
      <c r="K2" s="3"/>
    </row>
    <row r="3" spans="1:11">
      <c r="A3" s="5"/>
      <c r="B3" s="5"/>
      <c r="C3" s="3"/>
      <c r="D3" s="3"/>
      <c r="E3" s="3"/>
      <c r="F3" s="3"/>
      <c r="G3" s="3"/>
      <c r="H3" s="3"/>
      <c r="I3" s="3"/>
      <c r="J3" s="3"/>
      <c r="K3" s="3"/>
    </row>
    <row r="4" spans="1:11">
      <c r="A4" s="6"/>
      <c r="B4" s="6"/>
      <c r="C4" s="3"/>
      <c r="D4" s="3"/>
      <c r="E4" s="3"/>
      <c r="F4" s="3"/>
      <c r="G4" s="3"/>
      <c r="H4" s="3"/>
      <c r="I4" s="3"/>
      <c r="J4" s="3"/>
      <c r="K4" s="3"/>
    </row>
    <row r="5" spans="1:11">
      <c r="A5" s="5"/>
      <c r="B5" s="5"/>
      <c r="C5" s="3"/>
      <c r="D5" s="3"/>
      <c r="E5" s="3"/>
      <c r="F5" s="3"/>
      <c r="G5" s="3"/>
      <c r="H5" s="3"/>
      <c r="I5" s="3"/>
      <c r="J5" s="3"/>
      <c r="K5" s="3"/>
    </row>
    <row r="6" spans="1:11">
      <c r="A6" s="6"/>
      <c r="B6" s="6"/>
      <c r="C6" s="3"/>
      <c r="D6" s="3"/>
      <c r="E6" s="3"/>
      <c r="F6" s="3"/>
      <c r="G6" s="3"/>
      <c r="H6" s="3"/>
      <c r="I6" s="3"/>
      <c r="J6" s="3"/>
      <c r="K6" s="3"/>
    </row>
    <row r="7" spans="1:11">
      <c r="A7" s="6"/>
      <c r="B7" s="6"/>
      <c r="C7" s="3"/>
      <c r="D7" s="3"/>
      <c r="E7" s="284" t="s">
        <v>1</v>
      </c>
      <c r="F7" s="284"/>
      <c r="G7" s="284"/>
      <c r="H7" s="284"/>
      <c r="I7" s="237" t="s">
        <v>39</v>
      </c>
      <c r="J7" s="226">
        <f>CARÁTULA!$F$16</f>
        <v>2021</v>
      </c>
      <c r="K7" s="3"/>
    </row>
    <row r="8" spans="1:11">
      <c r="A8" s="6"/>
      <c r="B8" s="6"/>
      <c r="C8" s="3"/>
      <c r="D8" s="3"/>
      <c r="E8" s="3"/>
      <c r="F8" s="3"/>
      <c r="G8" s="3"/>
      <c r="H8" s="3"/>
      <c r="I8" s="3"/>
      <c r="J8" s="3"/>
      <c r="K8" s="3"/>
    </row>
    <row r="9" spans="1:11">
      <c r="A9" s="7"/>
      <c r="B9" s="7"/>
      <c r="C9" s="8"/>
      <c r="D9" s="8"/>
      <c r="E9" s="7"/>
      <c r="F9" s="8"/>
      <c r="G9" s="8"/>
      <c r="H9" s="8"/>
      <c r="I9" s="7"/>
      <c r="J9" s="7"/>
      <c r="K9" s="3"/>
    </row>
    <row r="10" spans="1:11">
      <c r="A10" s="9"/>
      <c r="B10" s="241" t="s">
        <v>3</v>
      </c>
      <c r="C10" s="241" t="s">
        <v>4</v>
      </c>
      <c r="D10" s="267" t="s">
        <v>5</v>
      </c>
      <c r="E10" s="267"/>
      <c r="F10" s="267" t="s">
        <v>6</v>
      </c>
      <c r="G10" s="267"/>
      <c r="H10" s="267" t="s">
        <v>7</v>
      </c>
      <c r="I10" s="267"/>
      <c r="J10" s="267"/>
      <c r="K10" s="3"/>
    </row>
    <row r="11" spans="1:11">
      <c r="A11" s="9"/>
      <c r="B11" s="9">
        <v>66</v>
      </c>
      <c r="C11" s="42">
        <v>44256</v>
      </c>
      <c r="D11" s="334" t="s">
        <v>35</v>
      </c>
      <c r="E11" s="334"/>
      <c r="F11" s="269">
        <v>28560</v>
      </c>
      <c r="G11" s="269"/>
      <c r="H11" s="266" t="s">
        <v>34</v>
      </c>
      <c r="I11" s="266"/>
      <c r="J11" s="266"/>
      <c r="K11" s="3"/>
    </row>
    <row r="12" spans="1:11">
      <c r="A12" s="9"/>
      <c r="B12" s="9">
        <v>67</v>
      </c>
      <c r="C12" s="42">
        <v>44256</v>
      </c>
      <c r="D12" s="335" t="s">
        <v>8</v>
      </c>
      <c r="E12" s="335"/>
      <c r="F12" s="269">
        <v>30990</v>
      </c>
      <c r="G12" s="269"/>
      <c r="H12" s="266" t="s">
        <v>34</v>
      </c>
      <c r="I12" s="266"/>
      <c r="J12" s="266"/>
      <c r="K12" s="3"/>
    </row>
    <row r="13" spans="1:11">
      <c r="A13" s="9"/>
      <c r="B13" s="9">
        <v>68</v>
      </c>
      <c r="C13" s="42">
        <v>44256</v>
      </c>
      <c r="D13" s="335" t="s">
        <v>14</v>
      </c>
      <c r="E13" s="335"/>
      <c r="F13" s="269">
        <v>30810</v>
      </c>
      <c r="G13" s="269"/>
      <c r="H13" s="266" t="s">
        <v>34</v>
      </c>
      <c r="I13" s="266"/>
      <c r="J13" s="266"/>
      <c r="K13" s="3"/>
    </row>
    <row r="14" spans="1:11">
      <c r="A14" s="9"/>
      <c r="B14" s="9">
        <v>70</v>
      </c>
      <c r="C14" s="42">
        <v>44260</v>
      </c>
      <c r="D14" s="335" t="s">
        <v>35</v>
      </c>
      <c r="E14" s="335"/>
      <c r="F14" s="269">
        <v>33600</v>
      </c>
      <c r="G14" s="269"/>
      <c r="H14" s="266" t="s">
        <v>34</v>
      </c>
      <c r="I14" s="266"/>
      <c r="J14" s="266"/>
      <c r="K14" s="3"/>
    </row>
    <row r="15" spans="1:11">
      <c r="A15" s="9"/>
      <c r="B15" s="9">
        <v>71</v>
      </c>
      <c r="C15" s="42">
        <v>44263</v>
      </c>
      <c r="D15" s="335" t="s">
        <v>35</v>
      </c>
      <c r="E15" s="335"/>
      <c r="F15" s="269">
        <v>44130</v>
      </c>
      <c r="G15" s="269"/>
      <c r="H15" s="266" t="s">
        <v>34</v>
      </c>
      <c r="I15" s="266"/>
      <c r="J15" s="266"/>
      <c r="K15" s="3"/>
    </row>
    <row r="16" spans="1:11">
      <c r="A16" s="9"/>
      <c r="B16" s="9">
        <v>72</v>
      </c>
      <c r="C16" s="42">
        <v>44262</v>
      </c>
      <c r="D16" s="335" t="s">
        <v>14</v>
      </c>
      <c r="E16" s="335"/>
      <c r="F16" s="269">
        <v>24750</v>
      </c>
      <c r="G16" s="269"/>
      <c r="H16" s="266" t="s">
        <v>34</v>
      </c>
      <c r="I16" s="266"/>
      <c r="J16" s="266"/>
      <c r="K16" s="3"/>
    </row>
    <row r="17" spans="1:11">
      <c r="A17" s="9"/>
      <c r="B17" s="9">
        <v>73</v>
      </c>
      <c r="C17" s="42">
        <v>44261</v>
      </c>
      <c r="D17" s="335" t="s">
        <v>8</v>
      </c>
      <c r="E17" s="335"/>
      <c r="F17" s="269">
        <v>16080</v>
      </c>
      <c r="G17" s="269"/>
      <c r="H17" s="266" t="s">
        <v>34</v>
      </c>
      <c r="I17" s="266"/>
      <c r="J17" s="266"/>
      <c r="K17" s="3"/>
    </row>
    <row r="18" spans="1:11">
      <c r="A18" s="9"/>
      <c r="B18" s="9">
        <v>74</v>
      </c>
      <c r="C18" s="42">
        <v>44266</v>
      </c>
      <c r="D18" s="335" t="s">
        <v>35</v>
      </c>
      <c r="E18" s="335"/>
      <c r="F18" s="269">
        <v>39510</v>
      </c>
      <c r="G18" s="269"/>
      <c r="H18" s="266" t="s">
        <v>34</v>
      </c>
      <c r="I18" s="266"/>
      <c r="J18" s="266"/>
      <c r="K18" s="3"/>
    </row>
    <row r="19" spans="1:11">
      <c r="A19" s="9"/>
      <c r="B19" s="9">
        <v>75</v>
      </c>
      <c r="C19" s="42">
        <v>44268</v>
      </c>
      <c r="D19" s="335" t="s">
        <v>14</v>
      </c>
      <c r="E19" s="335"/>
      <c r="F19" s="269">
        <v>31470</v>
      </c>
      <c r="G19" s="269"/>
      <c r="H19" s="266" t="s">
        <v>34</v>
      </c>
      <c r="I19" s="266"/>
      <c r="J19" s="266"/>
      <c r="K19" s="3"/>
    </row>
    <row r="20" spans="1:11">
      <c r="A20" s="9"/>
      <c r="B20" s="9">
        <v>76</v>
      </c>
      <c r="C20" s="42">
        <v>44269</v>
      </c>
      <c r="D20" s="335" t="s">
        <v>8</v>
      </c>
      <c r="E20" s="335"/>
      <c r="F20" s="269">
        <v>16470</v>
      </c>
      <c r="G20" s="269"/>
      <c r="H20" s="266" t="s">
        <v>34</v>
      </c>
      <c r="I20" s="266"/>
      <c r="J20" s="266"/>
      <c r="K20" s="3"/>
    </row>
    <row r="21" spans="1:11">
      <c r="A21" s="9"/>
      <c r="B21" s="9">
        <v>77</v>
      </c>
      <c r="C21" s="42">
        <v>44271</v>
      </c>
      <c r="D21" s="335" t="s">
        <v>8</v>
      </c>
      <c r="E21" s="335"/>
      <c r="F21" s="269">
        <v>32970</v>
      </c>
      <c r="G21" s="269"/>
      <c r="H21" s="266" t="s">
        <v>34</v>
      </c>
      <c r="I21" s="266"/>
      <c r="J21" s="266"/>
      <c r="K21" s="3"/>
    </row>
    <row r="22" spans="1:11">
      <c r="A22" s="9"/>
      <c r="B22" s="9">
        <v>78</v>
      </c>
      <c r="C22" s="42">
        <v>44270</v>
      </c>
      <c r="D22" s="335" t="s">
        <v>35</v>
      </c>
      <c r="E22" s="335"/>
      <c r="F22" s="269">
        <v>43260</v>
      </c>
      <c r="G22" s="269"/>
      <c r="H22" s="266" t="s">
        <v>34</v>
      </c>
      <c r="I22" s="266"/>
      <c r="J22" s="266"/>
      <c r="K22" s="3"/>
    </row>
    <row r="23" spans="1:11">
      <c r="A23" s="9"/>
      <c r="B23" s="9">
        <v>79</v>
      </c>
      <c r="C23" s="42">
        <v>44271</v>
      </c>
      <c r="D23" s="335" t="s">
        <v>14</v>
      </c>
      <c r="E23" s="335"/>
      <c r="F23" s="269">
        <v>7560</v>
      </c>
      <c r="G23" s="269"/>
      <c r="H23" s="266" t="s">
        <v>34</v>
      </c>
      <c r="I23" s="266"/>
      <c r="J23" s="266"/>
      <c r="K23" s="3"/>
    </row>
    <row r="24" spans="1:11">
      <c r="A24" s="9"/>
      <c r="B24" s="9">
        <v>80</v>
      </c>
      <c r="C24" s="42">
        <v>44274</v>
      </c>
      <c r="D24" s="335" t="s">
        <v>8</v>
      </c>
      <c r="E24" s="335"/>
      <c r="F24" s="269">
        <v>43080</v>
      </c>
      <c r="G24" s="269"/>
      <c r="H24" s="266" t="s">
        <v>34</v>
      </c>
      <c r="I24" s="266"/>
      <c r="J24" s="266"/>
      <c r="K24" s="3"/>
    </row>
    <row r="25" spans="1:11">
      <c r="A25" s="9"/>
      <c r="B25" s="9">
        <v>81</v>
      </c>
      <c r="C25" s="42">
        <v>44274</v>
      </c>
      <c r="D25" s="335" t="s">
        <v>35</v>
      </c>
      <c r="E25" s="335"/>
      <c r="F25" s="269">
        <v>43830</v>
      </c>
      <c r="G25" s="269"/>
      <c r="H25" s="266" t="s">
        <v>34</v>
      </c>
      <c r="I25" s="266"/>
      <c r="J25" s="266"/>
      <c r="K25" s="3"/>
    </row>
    <row r="26" spans="1:11">
      <c r="A26" s="9"/>
      <c r="B26" s="9">
        <v>82</v>
      </c>
      <c r="C26" s="42">
        <v>44274</v>
      </c>
      <c r="D26" s="335" t="s">
        <v>14</v>
      </c>
      <c r="E26" s="335"/>
      <c r="F26" s="269">
        <v>41370</v>
      </c>
      <c r="G26" s="269"/>
      <c r="H26" s="266" t="s">
        <v>34</v>
      </c>
      <c r="I26" s="266"/>
      <c r="J26" s="266"/>
      <c r="K26" s="3"/>
    </row>
    <row r="27" spans="1:11">
      <c r="A27" s="9"/>
      <c r="B27" s="9">
        <v>83</v>
      </c>
      <c r="C27" s="42">
        <v>44263</v>
      </c>
      <c r="D27" s="335" t="s">
        <v>11</v>
      </c>
      <c r="E27" s="335"/>
      <c r="F27" s="269">
        <v>40470</v>
      </c>
      <c r="G27" s="269"/>
      <c r="H27" s="266" t="s">
        <v>34</v>
      </c>
      <c r="I27" s="266"/>
      <c r="J27" s="266"/>
      <c r="K27" s="3"/>
    </row>
    <row r="28" spans="1:11">
      <c r="A28" s="9"/>
      <c r="B28" s="9">
        <v>84</v>
      </c>
      <c r="C28" s="42">
        <v>44278</v>
      </c>
      <c r="D28" s="338" t="s">
        <v>8</v>
      </c>
      <c r="E28" s="335"/>
      <c r="F28" s="269">
        <v>33600</v>
      </c>
      <c r="G28" s="269"/>
      <c r="H28" s="266" t="s">
        <v>34</v>
      </c>
      <c r="I28" s="266"/>
      <c r="J28" s="266"/>
      <c r="K28" s="3"/>
    </row>
    <row r="29" spans="1:11">
      <c r="A29" s="9"/>
      <c r="B29" s="9">
        <v>85</v>
      </c>
      <c r="C29" s="42">
        <v>44278</v>
      </c>
      <c r="D29" s="335" t="s">
        <v>14</v>
      </c>
      <c r="E29" s="335"/>
      <c r="F29" s="269">
        <v>38820</v>
      </c>
      <c r="G29" s="269"/>
      <c r="H29" s="266" t="s">
        <v>34</v>
      </c>
      <c r="I29" s="266"/>
      <c r="J29" s="266"/>
      <c r="K29" s="3"/>
    </row>
    <row r="30" spans="1:11">
      <c r="A30" s="9"/>
      <c r="B30" s="9">
        <v>86</v>
      </c>
      <c r="C30" s="42">
        <v>44278</v>
      </c>
      <c r="D30" s="335" t="s">
        <v>35</v>
      </c>
      <c r="E30" s="335"/>
      <c r="F30" s="269">
        <v>42540</v>
      </c>
      <c r="G30" s="269"/>
      <c r="H30" s="266" t="s">
        <v>34</v>
      </c>
      <c r="I30" s="266"/>
      <c r="J30" s="266"/>
      <c r="K30" s="3"/>
    </row>
    <row r="31" spans="1:11">
      <c r="A31" s="9"/>
      <c r="B31" s="9">
        <v>87</v>
      </c>
      <c r="C31" s="42">
        <v>44281</v>
      </c>
      <c r="D31" s="335" t="s">
        <v>8</v>
      </c>
      <c r="E31" s="335"/>
      <c r="F31" s="269">
        <v>21900</v>
      </c>
      <c r="G31" s="269"/>
      <c r="H31" s="266" t="s">
        <v>34</v>
      </c>
      <c r="I31" s="266"/>
      <c r="J31" s="266"/>
      <c r="K31" s="3"/>
    </row>
    <row r="32" spans="1:11">
      <c r="A32" s="9"/>
      <c r="B32" s="9">
        <v>88</v>
      </c>
      <c r="C32" s="42">
        <v>44278</v>
      </c>
      <c r="D32" s="335" t="s">
        <v>11</v>
      </c>
      <c r="E32" s="335"/>
      <c r="F32" s="269">
        <v>5220</v>
      </c>
      <c r="G32" s="269"/>
      <c r="H32" s="266" t="s">
        <v>34</v>
      </c>
      <c r="I32" s="266"/>
      <c r="J32" s="266"/>
      <c r="K32" s="3"/>
    </row>
    <row r="33" spans="1:12">
      <c r="A33" s="9"/>
      <c r="B33" s="9">
        <v>89</v>
      </c>
      <c r="C33" s="42">
        <v>44281</v>
      </c>
      <c r="D33" s="335" t="s">
        <v>14</v>
      </c>
      <c r="E33" s="335"/>
      <c r="F33" s="269">
        <v>26010</v>
      </c>
      <c r="G33" s="269"/>
      <c r="H33" s="266" t="s">
        <v>34</v>
      </c>
      <c r="I33" s="266"/>
      <c r="J33" s="266"/>
      <c r="K33" s="3"/>
    </row>
    <row r="34" spans="1:12">
      <c r="A34" s="9"/>
      <c r="B34" s="9">
        <v>90</v>
      </c>
      <c r="C34" s="42">
        <v>44281</v>
      </c>
      <c r="D34" s="335" t="s">
        <v>35</v>
      </c>
      <c r="E34" s="335"/>
      <c r="F34" s="269">
        <v>46110</v>
      </c>
      <c r="G34" s="269"/>
      <c r="H34" s="266" t="s">
        <v>34</v>
      </c>
      <c r="I34" s="266"/>
      <c r="J34" s="266"/>
      <c r="K34" s="3"/>
      <c r="L34" s="74"/>
    </row>
    <row r="35" spans="1:12">
      <c r="A35" s="9"/>
      <c r="B35" s="9">
        <v>91</v>
      </c>
      <c r="C35" s="42">
        <v>44283</v>
      </c>
      <c r="D35" s="335" t="s">
        <v>14</v>
      </c>
      <c r="E35" s="335"/>
      <c r="F35" s="269">
        <v>22830</v>
      </c>
      <c r="G35" s="269"/>
      <c r="H35" s="266" t="s">
        <v>34</v>
      </c>
      <c r="I35" s="266"/>
      <c r="J35" s="266"/>
      <c r="K35" s="3"/>
    </row>
    <row r="36" spans="1:12">
      <c r="A36" s="9"/>
      <c r="B36" s="9">
        <v>92</v>
      </c>
      <c r="C36" s="42">
        <v>44285</v>
      </c>
      <c r="D36" s="335" t="s">
        <v>35</v>
      </c>
      <c r="E36" s="335"/>
      <c r="F36" s="269">
        <v>29790</v>
      </c>
      <c r="G36" s="269"/>
      <c r="H36" s="266" t="s">
        <v>34</v>
      </c>
      <c r="I36" s="266"/>
      <c r="J36" s="266"/>
      <c r="K36" s="3"/>
    </row>
    <row r="37" spans="1:12">
      <c r="A37" s="9"/>
      <c r="B37" s="9"/>
      <c r="C37" s="42"/>
      <c r="D37" s="335"/>
      <c r="E37" s="335"/>
      <c r="F37" s="269"/>
      <c r="G37" s="269"/>
      <c r="H37" s="266"/>
      <c r="I37" s="266"/>
      <c r="J37" s="266"/>
      <c r="K37" s="3"/>
    </row>
    <row r="38" spans="1:12">
      <c r="A38" s="9"/>
      <c r="B38" s="9"/>
      <c r="C38" s="42"/>
      <c r="D38" s="335"/>
      <c r="E38" s="335"/>
      <c r="F38" s="269"/>
      <c r="G38" s="269"/>
      <c r="H38" s="266"/>
      <c r="I38" s="266"/>
      <c r="J38" s="266"/>
      <c r="K38" s="3"/>
    </row>
    <row r="39" spans="1:12">
      <c r="A39" s="9"/>
      <c r="B39" s="9"/>
      <c r="C39" s="42"/>
      <c r="D39" s="335"/>
      <c r="E39" s="335"/>
      <c r="F39" s="269"/>
      <c r="G39" s="269"/>
      <c r="H39" s="266"/>
      <c r="I39" s="266"/>
      <c r="J39" s="266"/>
      <c r="K39" s="3"/>
    </row>
    <row r="40" spans="1:12">
      <c r="A40" s="9"/>
      <c r="B40" s="9"/>
      <c r="C40" s="42"/>
      <c r="D40" s="335"/>
      <c r="E40" s="335"/>
      <c r="F40" s="269"/>
      <c r="G40" s="269"/>
      <c r="H40" s="266"/>
      <c r="I40" s="266"/>
      <c r="J40" s="266"/>
      <c r="K40" s="3"/>
    </row>
    <row r="41" spans="1:12">
      <c r="A41" s="9"/>
      <c r="B41" s="9"/>
      <c r="C41" s="11"/>
      <c r="D41" s="10"/>
      <c r="E41" s="10"/>
      <c r="F41" s="280">
        <f>SUM(F11:G40)</f>
        <v>815730</v>
      </c>
      <c r="G41" s="281"/>
      <c r="H41" s="18"/>
      <c r="I41" s="18"/>
      <c r="J41" s="18"/>
      <c r="K41" s="3"/>
    </row>
    <row r="42" spans="1:12">
      <c r="A42" s="9"/>
      <c r="B42" s="9"/>
      <c r="C42" s="7"/>
      <c r="D42" s="7"/>
      <c r="E42" s="13"/>
      <c r="F42" s="7"/>
      <c r="G42" s="7"/>
      <c r="H42" s="7"/>
      <c r="I42" s="12"/>
      <c r="J42" s="7"/>
      <c r="K42" s="3"/>
    </row>
    <row r="43" spans="1:12">
      <c r="A43" s="9"/>
      <c r="B43" s="9"/>
      <c r="C43" s="7"/>
      <c r="D43" s="282" t="s">
        <v>15</v>
      </c>
      <c r="E43" s="282"/>
      <c r="F43" s="7"/>
      <c r="G43" s="41">
        <f>F41/1000</f>
        <v>815.73</v>
      </c>
      <c r="H43" s="7"/>
      <c r="I43" s="7"/>
      <c r="J43" s="7"/>
      <c r="K43" s="3"/>
    </row>
    <row r="44" spans="1:12">
      <c r="A44" s="9"/>
      <c r="B44" s="9"/>
      <c r="C44" s="7"/>
      <c r="D44" s="7"/>
      <c r="E44" s="7"/>
      <c r="F44" s="7"/>
      <c r="G44" s="7"/>
      <c r="H44" s="7"/>
      <c r="I44" s="7"/>
      <c r="J44" s="7"/>
      <c r="K44" s="3"/>
    </row>
    <row r="45" spans="1:12">
      <c r="A45" s="9"/>
      <c r="B45" s="9"/>
      <c r="C45" s="267" t="s">
        <v>16</v>
      </c>
      <c r="D45" s="267"/>
      <c r="E45" s="267" t="s">
        <v>17</v>
      </c>
      <c r="F45" s="267"/>
      <c r="G45" s="241" t="s">
        <v>18</v>
      </c>
      <c r="H45" s="241" t="s">
        <v>19</v>
      </c>
      <c r="I45" s="7"/>
      <c r="J45" s="7"/>
      <c r="K45" s="3"/>
    </row>
    <row r="46" spans="1:12">
      <c r="A46" s="9"/>
      <c r="B46" s="9"/>
      <c r="C46" s="279" t="s">
        <v>20</v>
      </c>
      <c r="D46" s="279"/>
      <c r="E46" s="336">
        <f>F13+F16+F19+F23+F26+F29+F33+F35</f>
        <v>223620</v>
      </c>
      <c r="F46" s="336"/>
      <c r="G46" s="43">
        <f>+E46/F41</f>
        <v>0.27413482402265454</v>
      </c>
      <c r="H46" s="45">
        <v>8</v>
      </c>
      <c r="I46" s="7"/>
      <c r="J46" s="7"/>
      <c r="K46" s="3"/>
    </row>
    <row r="47" spans="1:12">
      <c r="A47" s="9"/>
      <c r="B47" s="9"/>
      <c r="C47" s="266" t="s">
        <v>21</v>
      </c>
      <c r="D47" s="266"/>
      <c r="E47" s="336">
        <f>F11+F14+F15+F18+F22+F25+F30+F34+F36</f>
        <v>351330</v>
      </c>
      <c r="F47" s="336"/>
      <c r="G47" s="43">
        <f>+E47/F41</f>
        <v>0.4306939796256114</v>
      </c>
      <c r="H47" s="45">
        <v>9</v>
      </c>
      <c r="I47" s="7"/>
      <c r="J47" s="7"/>
      <c r="K47" s="3"/>
    </row>
    <row r="48" spans="1:12">
      <c r="A48" s="9"/>
      <c r="B48" s="9"/>
      <c r="C48" s="266" t="s">
        <v>22</v>
      </c>
      <c r="D48" s="266"/>
      <c r="E48" s="269">
        <f>F12+F17+F20+F21+F24+F28+F31</f>
        <v>195090</v>
      </c>
      <c r="F48" s="269"/>
      <c r="G48" s="43">
        <f>+E48/F41</f>
        <v>0.23916001618182486</v>
      </c>
      <c r="H48" s="45">
        <v>7</v>
      </c>
      <c r="I48" s="7"/>
      <c r="J48" s="7"/>
      <c r="K48" s="3"/>
    </row>
    <row r="49" spans="1:11">
      <c r="A49" s="9"/>
      <c r="B49" s="9"/>
      <c r="C49" s="266" t="s">
        <v>23</v>
      </c>
      <c r="D49" s="266"/>
      <c r="E49" s="336">
        <f>+F27+F32</f>
        <v>45690</v>
      </c>
      <c r="F49" s="336"/>
      <c r="G49" s="43">
        <f>+E49/F41</f>
        <v>5.6011180169909164E-2</v>
      </c>
      <c r="H49" s="45">
        <v>2</v>
      </c>
      <c r="I49" s="7"/>
      <c r="J49" s="7"/>
      <c r="K49" s="3"/>
    </row>
    <row r="50" spans="1:11">
      <c r="A50" s="9"/>
      <c r="B50" s="9"/>
      <c r="C50" s="266" t="s">
        <v>37</v>
      </c>
      <c r="D50" s="266"/>
      <c r="E50" s="274">
        <v>0</v>
      </c>
      <c r="F50" s="274"/>
      <c r="G50" s="43">
        <f>+E50/F41</f>
        <v>0</v>
      </c>
      <c r="H50" s="45">
        <v>0</v>
      </c>
      <c r="I50" s="7"/>
      <c r="J50" s="7"/>
      <c r="K50" s="3"/>
    </row>
    <row r="51" spans="1:11">
      <c r="A51" s="9"/>
      <c r="B51" s="9"/>
      <c r="C51" s="14"/>
      <c r="D51" s="238" t="s">
        <v>24</v>
      </c>
      <c r="E51" s="337">
        <f>SUM(E46:F50)</f>
        <v>815730</v>
      </c>
      <c r="F51" s="337"/>
      <c r="G51" s="44">
        <f>SUM(G46:G50)</f>
        <v>0.99999999999999989</v>
      </c>
      <c r="H51" s="46">
        <f>SUM(H46:H50)</f>
        <v>26</v>
      </c>
      <c r="I51" s="7"/>
      <c r="J51" s="12"/>
      <c r="K51" s="3"/>
    </row>
    <row r="52" spans="1:11">
      <c r="A52" s="9"/>
      <c r="B52" s="9"/>
      <c r="C52" s="40"/>
      <c r="D52" s="7"/>
      <c r="E52" s="12"/>
      <c r="F52" s="16"/>
      <c r="G52" s="17"/>
      <c r="H52" s="7"/>
      <c r="I52" s="7"/>
      <c r="J52" s="7"/>
      <c r="K52" s="3"/>
    </row>
    <row r="53" spans="1:11">
      <c r="A53" s="9"/>
      <c r="B53" s="9"/>
      <c r="C53" s="270" t="s">
        <v>7</v>
      </c>
      <c r="D53" s="271"/>
      <c r="E53" s="272"/>
      <c r="F53" s="273" t="s">
        <v>6</v>
      </c>
      <c r="G53" s="267"/>
      <c r="H53" s="241" t="s">
        <v>18</v>
      </c>
      <c r="I53" s="7"/>
      <c r="J53" s="7"/>
      <c r="K53" s="3"/>
    </row>
    <row r="54" spans="1:11">
      <c r="A54" s="9"/>
      <c r="B54" s="9"/>
      <c r="C54" s="266" t="s">
        <v>25</v>
      </c>
      <c r="D54" s="266"/>
      <c r="E54" s="266"/>
      <c r="F54" s="283">
        <v>0</v>
      </c>
      <c r="G54" s="283"/>
      <c r="H54" s="43">
        <f>+F54/F56</f>
        <v>0</v>
      </c>
      <c r="I54" s="7"/>
      <c r="J54" s="7"/>
      <c r="K54" s="3"/>
    </row>
    <row r="55" spans="1:11">
      <c r="A55" s="9"/>
      <c r="B55" s="9"/>
      <c r="C55" s="266" t="s">
        <v>26</v>
      </c>
      <c r="D55" s="266"/>
      <c r="E55" s="266"/>
      <c r="F55" s="274">
        <f>F41</f>
        <v>815730</v>
      </c>
      <c r="G55" s="274"/>
      <c r="H55" s="43">
        <f>+F55/F56</f>
        <v>1</v>
      </c>
      <c r="I55" s="7"/>
      <c r="J55" s="7"/>
      <c r="K55" s="3"/>
    </row>
    <row r="56" spans="1:11">
      <c r="A56" s="9"/>
      <c r="B56" s="9"/>
      <c r="C56" s="7"/>
      <c r="D56" s="7" t="s">
        <v>24</v>
      </c>
      <c r="E56" s="7"/>
      <c r="F56" s="277">
        <f>SUM(F54:G55)</f>
        <v>815730</v>
      </c>
      <c r="G56" s="277"/>
      <c r="H56" s="44">
        <f>SUM(H54:H55)</f>
        <v>1</v>
      </c>
      <c r="I56" s="7"/>
      <c r="J56" s="7"/>
      <c r="K56" s="3"/>
    </row>
    <row r="57" spans="1:11">
      <c r="A57" s="9"/>
      <c r="B57" s="9"/>
      <c r="C57" s="7"/>
      <c r="D57" s="7"/>
      <c r="E57" s="7"/>
      <c r="F57" s="47"/>
      <c r="G57" s="47"/>
      <c r="H57" s="49"/>
      <c r="I57" s="7"/>
      <c r="J57" s="7"/>
      <c r="K57" s="3"/>
    </row>
    <row r="58" spans="1:11">
      <c r="A58" s="9"/>
      <c r="B58" s="9"/>
      <c r="C58" s="7"/>
      <c r="D58" s="7"/>
      <c r="E58" s="7"/>
      <c r="F58" s="47"/>
      <c r="G58" s="47"/>
      <c r="H58" s="49"/>
      <c r="I58" s="7"/>
      <c r="J58" s="7"/>
      <c r="K58" s="3"/>
    </row>
    <row r="59" spans="1:11">
      <c r="A59" s="9"/>
      <c r="B59" s="9"/>
      <c r="C59" s="7"/>
      <c r="D59" s="3"/>
      <c r="E59" s="278" t="s">
        <v>27</v>
      </c>
      <c r="F59" s="278"/>
      <c r="G59" s="278"/>
      <c r="H59" s="278"/>
      <c r="I59" s="7"/>
      <c r="J59" s="7"/>
      <c r="K59" s="3"/>
    </row>
    <row r="60" spans="1:11">
      <c r="A60" s="9"/>
      <c r="B60" s="9"/>
      <c r="C60" s="7"/>
      <c r="D60" s="56"/>
      <c r="E60" s="7"/>
      <c r="F60" s="7"/>
      <c r="G60" s="7"/>
      <c r="H60" s="7"/>
      <c r="I60" s="7"/>
      <c r="J60" s="7"/>
      <c r="K60" s="3"/>
    </row>
    <row r="61" spans="1:11">
      <c r="A61" s="7"/>
      <c r="B61" s="7"/>
      <c r="C61" s="7"/>
      <c r="D61" s="55" t="s">
        <v>28</v>
      </c>
      <c r="E61" s="275">
        <v>2020</v>
      </c>
      <c r="F61" s="276"/>
      <c r="G61" s="275">
        <v>2021</v>
      </c>
      <c r="H61" s="276"/>
      <c r="I61" s="7"/>
      <c r="J61" s="7"/>
      <c r="K61" s="3"/>
    </row>
    <row r="62" spans="1:11">
      <c r="A62" s="7"/>
      <c r="B62" s="7"/>
      <c r="C62" s="7"/>
      <c r="D62" s="54" t="s">
        <v>29</v>
      </c>
      <c r="E62" s="51" t="s">
        <v>30</v>
      </c>
      <c r="F62" s="51" t="s">
        <v>31</v>
      </c>
      <c r="G62" s="51" t="s">
        <v>30</v>
      </c>
      <c r="H62" s="51" t="s">
        <v>31</v>
      </c>
      <c r="I62" s="7"/>
      <c r="J62" s="7"/>
      <c r="K62" s="3"/>
    </row>
    <row r="63" spans="1:11">
      <c r="A63" s="7"/>
      <c r="B63" s="7"/>
      <c r="C63" s="7"/>
      <c r="D63" s="52"/>
      <c r="E63" s="28"/>
      <c r="F63" s="96"/>
      <c r="G63" s="28"/>
      <c r="H63" s="96"/>
      <c r="I63" s="7"/>
      <c r="J63" s="7"/>
      <c r="K63" s="3"/>
    </row>
    <row r="64" spans="1:11">
      <c r="A64" s="7"/>
      <c r="B64" s="7"/>
      <c r="C64" s="7"/>
      <c r="D64" s="83" t="s">
        <v>32</v>
      </c>
      <c r="E64" s="84">
        <f>'ENE 2021'!$E$68</f>
        <v>417.84</v>
      </c>
      <c r="F64" s="177">
        <v>15</v>
      </c>
      <c r="G64" s="84">
        <f>'ENE 2021'!G46</f>
        <v>1008.93</v>
      </c>
      <c r="H64" s="189">
        <f>'ENE 2021'!H55</f>
        <v>32</v>
      </c>
      <c r="I64" s="7"/>
      <c r="J64" s="7"/>
      <c r="K64" s="3"/>
    </row>
    <row r="65" spans="1:11">
      <c r="A65" s="7"/>
      <c r="B65" s="7"/>
      <c r="C65" s="7"/>
      <c r="D65" s="86" t="s">
        <v>38</v>
      </c>
      <c r="E65" s="84">
        <f>'FEB 2021'!$E$73</f>
        <v>591.57000000000005</v>
      </c>
      <c r="F65" s="178">
        <v>22</v>
      </c>
      <c r="G65" s="31">
        <f>'FEB 2021'!G48</f>
        <v>719.82</v>
      </c>
      <c r="H65" s="178">
        <f>'FEB 2021'!H57</f>
        <v>25</v>
      </c>
      <c r="I65" s="7"/>
      <c r="J65" s="7"/>
      <c r="K65" s="3"/>
    </row>
    <row r="66" spans="1:11">
      <c r="A66" s="7"/>
      <c r="B66" s="7"/>
      <c r="C66" s="7"/>
      <c r="D66" s="87" t="s">
        <v>40</v>
      </c>
      <c r="E66" s="34">
        <v>408.24</v>
      </c>
      <c r="F66" s="180">
        <v>13</v>
      </c>
      <c r="G66" s="34">
        <f>'MAR 2021'!G43</f>
        <v>815.73</v>
      </c>
      <c r="H66" s="172">
        <f>'MAR 2021'!H51</f>
        <v>26</v>
      </c>
      <c r="I66" s="7"/>
      <c r="J66" s="7"/>
      <c r="K66" s="3"/>
    </row>
    <row r="67" spans="1:11">
      <c r="A67" s="7"/>
      <c r="B67" s="7"/>
      <c r="C67" s="7"/>
      <c r="D67" s="7"/>
      <c r="E67" s="7"/>
      <c r="F67" s="7"/>
      <c r="G67" s="7"/>
      <c r="H67" s="7"/>
      <c r="I67" s="7"/>
      <c r="J67" s="7"/>
      <c r="K67" s="3"/>
    </row>
    <row r="68" spans="1:11">
      <c r="A68" s="7"/>
      <c r="B68" s="7"/>
      <c r="C68" s="7"/>
      <c r="D68" s="7"/>
      <c r="E68" s="58">
        <f>SUM(E64:E67)</f>
        <v>1417.65</v>
      </c>
      <c r="F68" s="59">
        <f>SUM(F64:F67)</f>
        <v>50</v>
      </c>
      <c r="G68" s="58">
        <f>SUM(G64:G66)</f>
        <v>2544.48</v>
      </c>
      <c r="H68" s="59">
        <f>SUM(H64:H66)</f>
        <v>83</v>
      </c>
      <c r="I68" s="7"/>
      <c r="J68" s="7"/>
      <c r="K68" s="3"/>
    </row>
    <row r="69" spans="1:11">
      <c r="A69" s="7"/>
      <c r="B69" s="7"/>
      <c r="C69" s="7"/>
      <c r="D69" s="7"/>
      <c r="E69" s="7"/>
      <c r="F69" s="7"/>
      <c r="G69" s="7"/>
      <c r="H69" s="7"/>
      <c r="I69" s="7"/>
      <c r="J69" s="7"/>
    </row>
    <row r="70" spans="1:11">
      <c r="A70" s="7"/>
      <c r="B70" s="7"/>
      <c r="C70" s="7"/>
      <c r="D70" s="7"/>
      <c r="E70" s="7"/>
      <c r="F70" s="7"/>
      <c r="G70" s="7"/>
      <c r="H70" s="7"/>
      <c r="I70" s="7"/>
      <c r="J70" s="7"/>
    </row>
    <row r="71" spans="1:11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1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1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1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1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1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1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1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1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1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>
      <c r="A82" s="3"/>
      <c r="B82" s="3"/>
      <c r="C82" s="3"/>
      <c r="D82" s="3"/>
      <c r="E82" s="3"/>
      <c r="F82" s="3"/>
      <c r="G82" s="3"/>
      <c r="H82" s="3"/>
      <c r="I82" s="3"/>
      <c r="J82" s="3"/>
    </row>
  </sheetData>
  <mergeCells count="119">
    <mergeCell ref="E7:H7"/>
    <mergeCell ref="D26:E26"/>
    <mergeCell ref="F26:G26"/>
    <mergeCell ref="H26:J26"/>
    <mergeCell ref="D24:E24"/>
    <mergeCell ref="F24:G24"/>
    <mergeCell ref="H25:J25"/>
    <mergeCell ref="D23:E23"/>
    <mergeCell ref="H24:J24"/>
    <mergeCell ref="D17:E17"/>
    <mergeCell ref="F23:G23"/>
    <mergeCell ref="H23:J23"/>
    <mergeCell ref="F17:G17"/>
    <mergeCell ref="H10:J10"/>
    <mergeCell ref="D11:E11"/>
    <mergeCell ref="F11:G11"/>
    <mergeCell ref="H11:J11"/>
    <mergeCell ref="D10:E10"/>
    <mergeCell ref="F10:G10"/>
    <mergeCell ref="D12:E12"/>
    <mergeCell ref="F12:G12"/>
    <mergeCell ref="H12:J12"/>
    <mergeCell ref="F15:G15"/>
    <mergeCell ref="H13:J13"/>
    <mergeCell ref="H14:J14"/>
    <mergeCell ref="D15:E15"/>
    <mergeCell ref="H21:J21"/>
    <mergeCell ref="D22:E22"/>
    <mergeCell ref="F22:G22"/>
    <mergeCell ref="H22:J22"/>
    <mergeCell ref="H19:J19"/>
    <mergeCell ref="H15:J15"/>
    <mergeCell ref="H18:J18"/>
    <mergeCell ref="H17:J17"/>
    <mergeCell ref="D16:E16"/>
    <mergeCell ref="F16:G16"/>
    <mergeCell ref="H16:J16"/>
    <mergeCell ref="F18:G18"/>
    <mergeCell ref="D19:E19"/>
    <mergeCell ref="F19:G19"/>
    <mergeCell ref="D13:E13"/>
    <mergeCell ref="F13:G13"/>
    <mergeCell ref="F14:G14"/>
    <mergeCell ref="D38:E38"/>
    <mergeCell ref="F38:G38"/>
    <mergeCell ref="F39:G39"/>
    <mergeCell ref="F31:G31"/>
    <mergeCell ref="H31:J31"/>
    <mergeCell ref="F20:G20"/>
    <mergeCell ref="D21:E21"/>
    <mergeCell ref="F21:G21"/>
    <mergeCell ref="D30:E30"/>
    <mergeCell ref="F30:G30"/>
    <mergeCell ref="H30:J30"/>
    <mergeCell ref="H20:J20"/>
    <mergeCell ref="F28:G28"/>
    <mergeCell ref="H28:J28"/>
    <mergeCell ref="F29:G29"/>
    <mergeCell ref="H29:J29"/>
    <mergeCell ref="D27:E27"/>
    <mergeCell ref="F27:G27"/>
    <mergeCell ref="H27:J27"/>
    <mergeCell ref="D28:E28"/>
    <mergeCell ref="D29:E29"/>
    <mergeCell ref="D31:E31"/>
    <mergeCell ref="D18:E18"/>
    <mergeCell ref="D20:E20"/>
    <mergeCell ref="D32:E32"/>
    <mergeCell ref="D14:E14"/>
    <mergeCell ref="D25:E25"/>
    <mergeCell ref="F25:G25"/>
    <mergeCell ref="G61:H61"/>
    <mergeCell ref="E51:F51"/>
    <mergeCell ref="C53:E53"/>
    <mergeCell ref="F53:G53"/>
    <mergeCell ref="C54:E54"/>
    <mergeCell ref="C55:E55"/>
    <mergeCell ref="F56:G56"/>
    <mergeCell ref="E59:H59"/>
    <mergeCell ref="H38:J38"/>
    <mergeCell ref="E61:F61"/>
    <mergeCell ref="F55:G55"/>
    <mergeCell ref="F54:G54"/>
    <mergeCell ref="C50:D50"/>
    <mergeCell ref="E50:F50"/>
    <mergeCell ref="C48:D48"/>
    <mergeCell ref="E48:F48"/>
    <mergeCell ref="C49:D49"/>
    <mergeCell ref="E49:F49"/>
    <mergeCell ref="E47:F47"/>
    <mergeCell ref="D43:E43"/>
    <mergeCell ref="E45:F45"/>
    <mergeCell ref="C45:D45"/>
    <mergeCell ref="C46:D46"/>
    <mergeCell ref="E46:F46"/>
    <mergeCell ref="C47:D47"/>
    <mergeCell ref="D39:E39"/>
    <mergeCell ref="F41:G41"/>
    <mergeCell ref="H32:J32"/>
    <mergeCell ref="D33:E33"/>
    <mergeCell ref="F33:G33"/>
    <mergeCell ref="D35:E35"/>
    <mergeCell ref="F35:G35"/>
    <mergeCell ref="H35:J35"/>
    <mergeCell ref="D34:E34"/>
    <mergeCell ref="H33:J33"/>
    <mergeCell ref="F32:G32"/>
    <mergeCell ref="H37:J37"/>
    <mergeCell ref="D40:E40"/>
    <mergeCell ref="F40:G40"/>
    <mergeCell ref="F34:G34"/>
    <mergeCell ref="H34:J34"/>
    <mergeCell ref="D36:E36"/>
    <mergeCell ref="F36:G36"/>
    <mergeCell ref="H36:J36"/>
    <mergeCell ref="H40:J40"/>
    <mergeCell ref="H39:J39"/>
    <mergeCell ref="D37:E37"/>
    <mergeCell ref="F37:G37"/>
  </mergeCells>
  <phoneticPr fontId="0" type="noConversion"/>
  <pageMargins left="0.59055118110236227" right="0.75" top="1" bottom="1" header="0" footer="0"/>
  <pageSetup paperSize="9" scale="75" orientation="portrait" horizontalDpi="4294967293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82"/>
  <sheetViews>
    <sheetView topLeftCell="B28" zoomScaleNormal="100" workbookViewId="0">
      <selection activeCell="F56" sqref="F56:G56"/>
    </sheetView>
  </sheetViews>
  <sheetFormatPr defaultColWidth="9.140625" defaultRowHeight="12.75"/>
  <cols>
    <col min="1" max="2" width="4.28515625" customWidth="1"/>
    <col min="3" max="10" width="12.42578125" customWidth="1"/>
    <col min="11" max="256" width="11.42578125" customWidth="1"/>
  </cols>
  <sheetData>
    <row r="1" spans="1:11">
      <c r="A1" s="3"/>
      <c r="B1" s="3"/>
      <c r="C1" s="4"/>
      <c r="D1" s="4"/>
      <c r="E1" s="4"/>
      <c r="F1" s="4"/>
      <c r="G1" s="4"/>
      <c r="H1" s="4"/>
      <c r="I1" s="4"/>
      <c r="J1" s="4"/>
      <c r="K1" s="3"/>
    </row>
    <row r="2" spans="1:11">
      <c r="A2" s="5"/>
      <c r="B2" s="5"/>
      <c r="C2" s="3"/>
      <c r="D2" s="3"/>
      <c r="E2" s="3"/>
      <c r="F2" s="3"/>
      <c r="G2" s="3"/>
      <c r="H2" s="3"/>
      <c r="I2" s="3"/>
      <c r="J2" s="3"/>
      <c r="K2" s="3"/>
    </row>
    <row r="3" spans="1:11">
      <c r="A3" s="5"/>
      <c r="B3" s="5"/>
      <c r="C3" s="3"/>
      <c r="D3" s="3"/>
      <c r="E3" s="3"/>
      <c r="F3" s="3"/>
      <c r="G3" s="3"/>
      <c r="H3" s="3"/>
      <c r="I3" s="3"/>
      <c r="J3" s="3"/>
      <c r="K3" s="3"/>
    </row>
    <row r="4" spans="1:11">
      <c r="A4" s="6"/>
      <c r="B4" s="6"/>
      <c r="C4" s="3"/>
      <c r="D4" s="3"/>
      <c r="E4" s="3"/>
      <c r="F4" s="3"/>
      <c r="G4" s="3"/>
      <c r="H4" s="3"/>
      <c r="I4" s="3"/>
      <c r="J4" s="3"/>
      <c r="K4" s="3"/>
    </row>
    <row r="5" spans="1:11">
      <c r="A5" s="5"/>
      <c r="B5" s="5"/>
      <c r="C5" s="3"/>
      <c r="D5" s="3"/>
      <c r="E5" s="3"/>
      <c r="F5" s="3"/>
      <c r="G5" s="3"/>
      <c r="H5" s="3"/>
      <c r="I5" s="3"/>
      <c r="J5" s="3"/>
      <c r="K5" s="3"/>
    </row>
    <row r="6" spans="1:11">
      <c r="A6" s="6"/>
      <c r="B6" s="6"/>
      <c r="C6" s="3"/>
      <c r="D6" s="3"/>
      <c r="E6" s="3"/>
      <c r="F6" s="3"/>
      <c r="G6" s="3"/>
      <c r="H6" s="3"/>
      <c r="I6" s="3"/>
      <c r="J6" s="3"/>
      <c r="K6" s="3"/>
    </row>
    <row r="7" spans="1:11">
      <c r="A7" s="6"/>
      <c r="B7" s="6"/>
      <c r="C7" s="3"/>
      <c r="D7" s="3"/>
      <c r="E7" s="284" t="s">
        <v>1</v>
      </c>
      <c r="F7" s="284"/>
      <c r="G7" s="284"/>
      <c r="H7" s="284"/>
      <c r="I7" s="237" t="s">
        <v>41</v>
      </c>
      <c r="J7" s="226">
        <f>CARÁTULA!$F$16</f>
        <v>2021</v>
      </c>
      <c r="K7" s="3"/>
    </row>
    <row r="8" spans="1:11">
      <c r="A8" s="6"/>
      <c r="B8" s="6"/>
      <c r="C8" s="3"/>
      <c r="D8" s="3"/>
      <c r="E8" s="3"/>
      <c r="F8" s="3"/>
      <c r="G8" s="3"/>
      <c r="H8" s="3"/>
      <c r="I8" s="3"/>
      <c r="J8" s="3"/>
      <c r="K8" s="3"/>
    </row>
    <row r="9" spans="1:11">
      <c r="A9" s="7"/>
      <c r="B9" s="7"/>
      <c r="C9" s="8"/>
      <c r="D9" s="8"/>
      <c r="E9" s="7"/>
      <c r="F9" s="8"/>
      <c r="G9" s="8"/>
      <c r="H9" s="8"/>
      <c r="I9" s="7"/>
      <c r="J9" s="7"/>
      <c r="K9" s="3"/>
    </row>
    <row r="10" spans="1:11">
      <c r="A10" s="9"/>
      <c r="B10" s="241" t="s">
        <v>3</v>
      </c>
      <c r="C10" s="241" t="s">
        <v>4</v>
      </c>
      <c r="D10" s="267" t="s">
        <v>5</v>
      </c>
      <c r="E10" s="267"/>
      <c r="F10" s="267" t="s">
        <v>6</v>
      </c>
      <c r="G10" s="267"/>
      <c r="H10" s="267" t="s">
        <v>7</v>
      </c>
      <c r="I10" s="267"/>
      <c r="J10" s="267"/>
      <c r="K10" s="3"/>
    </row>
    <row r="11" spans="1:11">
      <c r="A11" s="9"/>
      <c r="B11" s="18">
        <v>94</v>
      </c>
      <c r="C11" s="42">
        <v>44287</v>
      </c>
      <c r="D11" s="334" t="s">
        <v>14</v>
      </c>
      <c r="E11" s="334"/>
      <c r="F11" s="269">
        <v>30900</v>
      </c>
      <c r="G11" s="269"/>
      <c r="H11" s="266" t="s">
        <v>42</v>
      </c>
      <c r="I11" s="266"/>
      <c r="J11" s="266"/>
      <c r="K11" s="3"/>
    </row>
    <row r="12" spans="1:11">
      <c r="A12" s="9"/>
      <c r="B12" s="18">
        <v>96</v>
      </c>
      <c r="C12" s="42">
        <v>44288</v>
      </c>
      <c r="D12" s="335" t="s">
        <v>14</v>
      </c>
      <c r="E12" s="335"/>
      <c r="F12" s="269">
        <v>47700</v>
      </c>
      <c r="G12" s="269"/>
      <c r="H12" s="266" t="s">
        <v>42</v>
      </c>
      <c r="I12" s="266"/>
      <c r="J12" s="266"/>
      <c r="K12" s="3"/>
    </row>
    <row r="13" spans="1:11">
      <c r="A13" s="9"/>
      <c r="B13" s="18">
        <v>97</v>
      </c>
      <c r="C13" s="42">
        <v>44292</v>
      </c>
      <c r="D13" s="335" t="s">
        <v>35</v>
      </c>
      <c r="E13" s="335"/>
      <c r="F13" s="269">
        <v>38910</v>
      </c>
      <c r="G13" s="269"/>
      <c r="H13" s="266" t="s">
        <v>42</v>
      </c>
      <c r="I13" s="266"/>
      <c r="J13" s="266"/>
      <c r="K13" s="3"/>
    </row>
    <row r="14" spans="1:11">
      <c r="A14" s="9"/>
      <c r="B14" s="18">
        <v>98</v>
      </c>
      <c r="C14" s="42">
        <v>44293</v>
      </c>
      <c r="D14" s="335" t="s">
        <v>14</v>
      </c>
      <c r="E14" s="335"/>
      <c r="F14" s="269">
        <v>27540</v>
      </c>
      <c r="G14" s="269"/>
      <c r="H14" s="266" t="s">
        <v>42</v>
      </c>
      <c r="I14" s="266"/>
      <c r="J14" s="266"/>
      <c r="K14" s="3"/>
    </row>
    <row r="15" spans="1:11">
      <c r="A15" s="9"/>
      <c r="B15" s="18">
        <v>99</v>
      </c>
      <c r="C15" s="42">
        <v>44295</v>
      </c>
      <c r="D15" s="335" t="s">
        <v>35</v>
      </c>
      <c r="E15" s="335"/>
      <c r="F15" s="269">
        <v>24900</v>
      </c>
      <c r="G15" s="269"/>
      <c r="H15" s="266" t="s">
        <v>42</v>
      </c>
      <c r="I15" s="266"/>
      <c r="J15" s="266"/>
      <c r="K15" s="3"/>
    </row>
    <row r="16" spans="1:11">
      <c r="A16" s="9"/>
      <c r="B16" s="18">
        <v>100</v>
      </c>
      <c r="C16" s="42">
        <v>44299</v>
      </c>
      <c r="D16" s="335" t="s">
        <v>35</v>
      </c>
      <c r="E16" s="335"/>
      <c r="F16" s="269">
        <v>19650</v>
      </c>
      <c r="G16" s="269"/>
      <c r="H16" s="266" t="s">
        <v>42</v>
      </c>
      <c r="I16" s="266"/>
      <c r="J16" s="266"/>
      <c r="K16" s="3"/>
    </row>
    <row r="17" spans="1:11">
      <c r="A17" s="9"/>
      <c r="B17" s="18">
        <v>101</v>
      </c>
      <c r="C17" s="42">
        <v>44304</v>
      </c>
      <c r="D17" s="335" t="s">
        <v>35</v>
      </c>
      <c r="E17" s="335"/>
      <c r="F17" s="269">
        <v>29550</v>
      </c>
      <c r="G17" s="269"/>
      <c r="H17" s="266" t="s">
        <v>42</v>
      </c>
      <c r="I17" s="266"/>
      <c r="J17" s="266"/>
      <c r="K17" s="3"/>
    </row>
    <row r="18" spans="1:11">
      <c r="A18" s="9"/>
      <c r="B18" s="18">
        <v>102</v>
      </c>
      <c r="C18" s="42">
        <v>44298</v>
      </c>
      <c r="D18" s="335" t="s">
        <v>14</v>
      </c>
      <c r="E18" s="335"/>
      <c r="F18" s="269">
        <v>24780</v>
      </c>
      <c r="G18" s="269"/>
      <c r="H18" s="266" t="s">
        <v>42</v>
      </c>
      <c r="I18" s="266"/>
      <c r="J18" s="266"/>
      <c r="K18" s="3"/>
    </row>
    <row r="19" spans="1:11">
      <c r="A19" s="9"/>
      <c r="B19" s="18">
        <v>103</v>
      </c>
      <c r="C19" s="42">
        <v>44309</v>
      </c>
      <c r="D19" s="335" t="s">
        <v>35</v>
      </c>
      <c r="E19" s="335"/>
      <c r="F19" s="269">
        <v>33240</v>
      </c>
      <c r="G19" s="269"/>
      <c r="H19" s="266" t="s">
        <v>42</v>
      </c>
      <c r="I19" s="266"/>
      <c r="J19" s="266"/>
      <c r="K19" s="3"/>
    </row>
    <row r="20" spans="1:11">
      <c r="A20" s="9"/>
      <c r="B20" s="18">
        <v>104</v>
      </c>
      <c r="C20" s="42">
        <v>44310</v>
      </c>
      <c r="D20" s="335" t="s">
        <v>14</v>
      </c>
      <c r="E20" s="335"/>
      <c r="F20" s="269">
        <v>12060</v>
      </c>
      <c r="G20" s="269"/>
      <c r="H20" s="266" t="s">
        <v>42</v>
      </c>
      <c r="I20" s="266"/>
      <c r="J20" s="266"/>
      <c r="K20" s="3"/>
    </row>
    <row r="21" spans="1:11">
      <c r="A21" s="9"/>
      <c r="B21" s="18">
        <v>105</v>
      </c>
      <c r="C21" s="42">
        <v>44314</v>
      </c>
      <c r="D21" s="335" t="s">
        <v>14</v>
      </c>
      <c r="E21" s="335"/>
      <c r="F21" s="269">
        <v>34500</v>
      </c>
      <c r="G21" s="269"/>
      <c r="H21" s="266" t="s">
        <v>42</v>
      </c>
      <c r="I21" s="266"/>
      <c r="J21" s="266"/>
      <c r="K21" s="3"/>
    </row>
    <row r="22" spans="1:11">
      <c r="A22" s="9"/>
      <c r="B22" s="18"/>
      <c r="C22" s="42"/>
      <c r="D22" s="266"/>
      <c r="E22" s="266"/>
      <c r="F22" s="269"/>
      <c r="G22" s="269"/>
      <c r="H22" s="266"/>
      <c r="I22" s="266"/>
      <c r="J22" s="266"/>
      <c r="K22" s="3"/>
    </row>
    <row r="23" spans="1:11">
      <c r="A23" s="9"/>
      <c r="B23" s="18"/>
      <c r="C23" s="42"/>
      <c r="D23" s="335"/>
      <c r="E23" s="335"/>
      <c r="F23" s="269"/>
      <c r="G23" s="269"/>
      <c r="H23" s="266"/>
      <c r="I23" s="266"/>
      <c r="J23" s="266"/>
      <c r="K23" s="3"/>
    </row>
    <row r="24" spans="1:11">
      <c r="A24" s="9"/>
      <c r="B24" s="18"/>
      <c r="C24" s="42"/>
      <c r="D24" s="335"/>
      <c r="E24" s="335"/>
      <c r="F24" s="269"/>
      <c r="G24" s="269"/>
      <c r="H24" s="266"/>
      <c r="I24" s="266"/>
      <c r="J24" s="266"/>
      <c r="K24" s="3"/>
    </row>
    <row r="25" spans="1:11">
      <c r="A25" s="9"/>
      <c r="B25" s="18"/>
      <c r="C25" s="42"/>
      <c r="D25" s="335"/>
      <c r="E25" s="335"/>
      <c r="F25" s="269"/>
      <c r="G25" s="269"/>
      <c r="H25" s="266"/>
      <c r="I25" s="266"/>
      <c r="J25" s="266"/>
      <c r="K25" s="3"/>
    </row>
    <row r="26" spans="1:11">
      <c r="A26" s="9"/>
      <c r="B26" s="18"/>
      <c r="C26" s="42"/>
      <c r="D26" s="335"/>
      <c r="E26" s="335"/>
      <c r="F26" s="269"/>
      <c r="G26" s="269"/>
      <c r="H26" s="266"/>
      <c r="I26" s="266"/>
      <c r="J26" s="266"/>
      <c r="K26" s="3"/>
    </row>
    <row r="27" spans="1:11">
      <c r="A27" s="9"/>
      <c r="B27" s="18"/>
      <c r="C27" s="42"/>
      <c r="D27" s="335"/>
      <c r="E27" s="335"/>
      <c r="F27" s="269"/>
      <c r="G27" s="269"/>
      <c r="H27" s="266"/>
      <c r="I27" s="266"/>
      <c r="J27" s="266"/>
      <c r="K27" s="3"/>
    </row>
    <row r="28" spans="1:11">
      <c r="A28" s="9"/>
      <c r="B28" s="18"/>
      <c r="C28" s="42"/>
      <c r="D28" s="335"/>
      <c r="E28" s="335"/>
      <c r="F28" s="269"/>
      <c r="G28" s="269"/>
      <c r="H28" s="266"/>
      <c r="I28" s="266"/>
      <c r="J28" s="266"/>
      <c r="K28" s="3"/>
    </row>
    <row r="29" spans="1:11">
      <c r="A29" s="9"/>
      <c r="B29" s="18"/>
      <c r="C29" s="42"/>
      <c r="D29" s="335"/>
      <c r="E29" s="335"/>
      <c r="F29" s="269"/>
      <c r="G29" s="269"/>
      <c r="H29" s="266"/>
      <c r="I29" s="266"/>
      <c r="J29" s="266"/>
      <c r="K29" s="3"/>
    </row>
    <row r="30" spans="1:11">
      <c r="A30" s="9"/>
      <c r="B30" s="18"/>
      <c r="C30" s="42"/>
      <c r="D30" s="335"/>
      <c r="E30" s="335"/>
      <c r="F30" s="269"/>
      <c r="G30" s="269"/>
      <c r="H30" s="266"/>
      <c r="I30" s="266"/>
      <c r="J30" s="266"/>
      <c r="K30" s="3"/>
    </row>
    <row r="31" spans="1:11">
      <c r="A31" s="9"/>
      <c r="B31" s="18"/>
      <c r="C31" s="42"/>
      <c r="D31" s="335"/>
      <c r="E31" s="335"/>
      <c r="F31" s="269"/>
      <c r="G31" s="269"/>
      <c r="H31" s="266"/>
      <c r="I31" s="266"/>
      <c r="J31" s="266"/>
      <c r="K31" s="3"/>
    </row>
    <row r="32" spans="1:11">
      <c r="A32" s="9"/>
      <c r="B32" s="18"/>
      <c r="C32" s="42"/>
      <c r="D32" s="335"/>
      <c r="E32" s="335"/>
      <c r="F32" s="269"/>
      <c r="G32" s="269"/>
      <c r="H32" s="266"/>
      <c r="I32" s="266"/>
      <c r="J32" s="266"/>
      <c r="K32" s="3"/>
    </row>
    <row r="33" spans="1:11">
      <c r="A33" s="9"/>
      <c r="B33" s="18"/>
      <c r="C33" s="42"/>
      <c r="D33" s="335"/>
      <c r="E33" s="335"/>
      <c r="F33" s="269"/>
      <c r="G33" s="269"/>
      <c r="H33" s="266"/>
      <c r="I33" s="266"/>
      <c r="J33" s="266"/>
      <c r="K33" s="3"/>
    </row>
    <row r="34" spans="1:11">
      <c r="A34" s="9"/>
      <c r="B34" s="18"/>
      <c r="C34" s="42"/>
      <c r="D34" s="335"/>
      <c r="E34" s="335"/>
      <c r="F34" s="269"/>
      <c r="G34" s="269"/>
      <c r="H34" s="266"/>
      <c r="I34" s="266"/>
      <c r="J34" s="266"/>
      <c r="K34" s="3"/>
    </row>
    <row r="35" spans="1:11">
      <c r="A35" s="9"/>
      <c r="B35" s="18"/>
      <c r="C35" s="42"/>
      <c r="D35" s="266"/>
      <c r="E35" s="266"/>
      <c r="F35" s="269"/>
      <c r="G35" s="269"/>
      <c r="H35" s="266"/>
      <c r="I35" s="266"/>
      <c r="J35" s="266"/>
      <c r="K35" s="3"/>
    </row>
    <row r="36" spans="1:11">
      <c r="A36" s="9"/>
      <c r="B36" s="18"/>
      <c r="C36" s="42"/>
      <c r="D36" s="266"/>
      <c r="E36" s="266"/>
      <c r="F36" s="269"/>
      <c r="G36" s="269"/>
      <c r="H36" s="266"/>
      <c r="I36" s="266"/>
      <c r="J36" s="266"/>
      <c r="K36" s="3"/>
    </row>
    <row r="37" spans="1:11">
      <c r="A37" s="9"/>
      <c r="B37" s="18"/>
      <c r="C37" s="42"/>
      <c r="D37" s="266"/>
      <c r="E37" s="266"/>
      <c r="F37" s="269"/>
      <c r="G37" s="269"/>
      <c r="H37" s="266"/>
      <c r="I37" s="266"/>
      <c r="J37" s="266"/>
      <c r="K37" s="3"/>
    </row>
    <row r="38" spans="1:11">
      <c r="A38" s="9"/>
      <c r="B38" s="18"/>
      <c r="C38" s="42"/>
      <c r="D38" s="266"/>
      <c r="E38" s="266"/>
      <c r="F38" s="274"/>
      <c r="G38" s="274"/>
      <c r="H38" s="266"/>
      <c r="I38" s="266"/>
      <c r="J38" s="266"/>
      <c r="K38" s="3"/>
    </row>
    <row r="39" spans="1:11">
      <c r="A39" s="9"/>
      <c r="B39" s="9"/>
      <c r="C39" s="11"/>
      <c r="D39" s="10"/>
      <c r="E39" s="10"/>
      <c r="F39" s="280">
        <f>SUM(F11:G38)</f>
        <v>323730</v>
      </c>
      <c r="G39" s="281"/>
      <c r="H39" s="18"/>
      <c r="I39" s="18"/>
      <c r="J39" s="18"/>
      <c r="K39" s="3"/>
    </row>
    <row r="40" spans="1:11">
      <c r="A40" s="9"/>
      <c r="B40" s="9"/>
      <c r="C40" s="7"/>
      <c r="D40" s="7"/>
      <c r="E40" s="13"/>
      <c r="F40" s="7"/>
      <c r="G40" s="7"/>
      <c r="H40" s="7"/>
      <c r="I40" s="12"/>
      <c r="J40" s="7"/>
      <c r="K40" s="3"/>
    </row>
    <row r="41" spans="1:11">
      <c r="A41" s="9"/>
      <c r="B41" s="9"/>
      <c r="C41" s="7"/>
      <c r="D41" s="282" t="s">
        <v>15</v>
      </c>
      <c r="E41" s="282"/>
      <c r="F41" s="7"/>
      <c r="G41" s="41">
        <f>F39/1000</f>
        <v>323.73</v>
      </c>
      <c r="H41" s="7"/>
      <c r="I41" s="12"/>
      <c r="J41" s="7"/>
      <c r="K41" s="3"/>
    </row>
    <row r="42" spans="1:11">
      <c r="A42" s="9"/>
      <c r="B42" s="9"/>
      <c r="C42" s="7"/>
      <c r="D42" s="7"/>
      <c r="E42" s="13"/>
      <c r="F42" s="7"/>
      <c r="G42" s="7"/>
      <c r="H42" s="7"/>
      <c r="I42" s="7"/>
      <c r="J42" s="12"/>
      <c r="K42" s="3"/>
    </row>
    <row r="43" spans="1:11">
      <c r="A43" s="9"/>
      <c r="B43" s="9"/>
      <c r="C43" s="7"/>
      <c r="D43" s="7"/>
      <c r="E43" s="7"/>
      <c r="F43" s="7"/>
      <c r="G43" s="7"/>
      <c r="H43" s="7"/>
      <c r="I43" s="7"/>
      <c r="J43" s="7"/>
      <c r="K43" s="3"/>
    </row>
    <row r="44" spans="1:11">
      <c r="A44" s="9"/>
      <c r="B44" s="9"/>
      <c r="C44" s="267" t="s">
        <v>16</v>
      </c>
      <c r="D44" s="267"/>
      <c r="E44" s="267" t="s">
        <v>17</v>
      </c>
      <c r="F44" s="267"/>
      <c r="G44" s="241" t="s">
        <v>18</v>
      </c>
      <c r="H44" s="241" t="s">
        <v>19</v>
      </c>
      <c r="I44" s="7"/>
      <c r="J44" s="7"/>
      <c r="K44" s="3"/>
    </row>
    <row r="45" spans="1:11">
      <c r="A45" s="9"/>
      <c r="B45" s="9"/>
      <c r="C45" s="279" t="s">
        <v>20</v>
      </c>
      <c r="D45" s="279"/>
      <c r="E45" s="269">
        <f>F11+F12+F14+F18+F20+F21</f>
        <v>177480</v>
      </c>
      <c r="F45" s="269"/>
      <c r="G45" s="43">
        <f>+E45/E50</f>
        <v>0.54823463997775923</v>
      </c>
      <c r="H45" s="45">
        <v>6</v>
      </c>
      <c r="I45" s="7"/>
      <c r="J45" s="7"/>
      <c r="K45" s="3"/>
    </row>
    <row r="46" spans="1:11">
      <c r="A46" s="9"/>
      <c r="B46" s="9"/>
      <c r="C46" s="266" t="s">
        <v>21</v>
      </c>
      <c r="D46" s="266"/>
      <c r="E46" s="269">
        <f>F13+F15+F16+F17+F19</f>
        <v>146250</v>
      </c>
      <c r="F46" s="269"/>
      <c r="G46" s="43">
        <f>+E46/E50</f>
        <v>0.45176536002224077</v>
      </c>
      <c r="H46" s="45">
        <v>5</v>
      </c>
      <c r="I46" s="7"/>
      <c r="J46" s="7"/>
      <c r="K46" s="3"/>
    </row>
    <row r="47" spans="1:11">
      <c r="A47" s="9"/>
      <c r="B47" s="9"/>
      <c r="C47" s="266" t="s">
        <v>22</v>
      </c>
      <c r="D47" s="266"/>
      <c r="E47" s="269">
        <v>0</v>
      </c>
      <c r="F47" s="269"/>
      <c r="G47" s="43">
        <f>+E47/E50</f>
        <v>0</v>
      </c>
      <c r="H47" s="45">
        <v>0</v>
      </c>
      <c r="I47" s="7"/>
      <c r="J47" s="7"/>
      <c r="K47" s="3"/>
    </row>
    <row r="48" spans="1:11">
      <c r="A48" s="9"/>
      <c r="B48" s="9"/>
      <c r="C48" s="266" t="s">
        <v>23</v>
      </c>
      <c r="D48" s="266"/>
      <c r="E48" s="269">
        <v>0</v>
      </c>
      <c r="F48" s="269"/>
      <c r="G48" s="43">
        <f>+E48/E50</f>
        <v>0</v>
      </c>
      <c r="H48" s="45">
        <v>0</v>
      </c>
      <c r="I48" s="7"/>
      <c r="J48" s="7"/>
      <c r="K48" s="3"/>
    </row>
    <row r="49" spans="1:11">
      <c r="A49" s="9"/>
      <c r="B49" s="9"/>
      <c r="C49" s="266" t="s">
        <v>37</v>
      </c>
      <c r="D49" s="266"/>
      <c r="E49" s="269">
        <v>0</v>
      </c>
      <c r="F49" s="269"/>
      <c r="G49" s="43">
        <f>+E49/E50</f>
        <v>0</v>
      </c>
      <c r="H49" s="45">
        <v>0</v>
      </c>
      <c r="I49" s="7"/>
      <c r="J49" s="7"/>
      <c r="K49" s="3"/>
    </row>
    <row r="50" spans="1:11">
      <c r="A50" s="9"/>
      <c r="B50" s="9"/>
      <c r="C50" s="14"/>
      <c r="D50" s="238" t="s">
        <v>24</v>
      </c>
      <c r="E50" s="337">
        <f>SUM(E45:F49)</f>
        <v>323730</v>
      </c>
      <c r="F50" s="337"/>
      <c r="G50" s="44">
        <f>SUM(G45:G49)</f>
        <v>1</v>
      </c>
      <c r="H50" s="46">
        <f>SUM(H45:H49)</f>
        <v>11</v>
      </c>
      <c r="I50" s="7"/>
      <c r="J50" s="7"/>
      <c r="K50" s="3"/>
    </row>
    <row r="51" spans="1:11">
      <c r="A51" s="9"/>
      <c r="B51" s="9"/>
      <c r="C51" s="15"/>
      <c r="D51" s="15"/>
      <c r="E51" s="10"/>
      <c r="F51" s="10"/>
      <c r="G51" s="10"/>
      <c r="H51" s="7"/>
      <c r="I51" s="7"/>
      <c r="J51" s="7"/>
      <c r="K51" s="3"/>
    </row>
    <row r="52" spans="1:11">
      <c r="A52" s="9"/>
      <c r="B52" s="9"/>
      <c r="C52" s="40"/>
      <c r="D52" s="7"/>
      <c r="E52" s="12"/>
      <c r="F52" s="16"/>
      <c r="G52" s="17"/>
      <c r="H52" s="7"/>
      <c r="I52" s="7"/>
      <c r="J52" s="7"/>
      <c r="K52" s="3"/>
    </row>
    <row r="53" spans="1:11">
      <c r="A53" s="9"/>
      <c r="B53" s="9"/>
      <c r="C53" s="270" t="s">
        <v>7</v>
      </c>
      <c r="D53" s="271"/>
      <c r="E53" s="272"/>
      <c r="F53" s="273" t="s">
        <v>6</v>
      </c>
      <c r="G53" s="267"/>
      <c r="H53" s="241" t="s">
        <v>18</v>
      </c>
      <c r="I53" s="7"/>
      <c r="J53" s="7"/>
      <c r="K53" s="3"/>
    </row>
    <row r="54" spans="1:11">
      <c r="A54" s="9"/>
      <c r="B54" s="9"/>
      <c r="C54" s="266" t="s">
        <v>25</v>
      </c>
      <c r="D54" s="266"/>
      <c r="E54" s="266"/>
      <c r="F54" s="283">
        <v>0</v>
      </c>
      <c r="G54" s="283"/>
      <c r="H54" s="43">
        <f>F54/F56</f>
        <v>0</v>
      </c>
      <c r="I54" s="7"/>
      <c r="J54" s="7"/>
      <c r="K54" s="3"/>
    </row>
    <row r="55" spans="1:11">
      <c r="A55" s="9"/>
      <c r="B55" s="9"/>
      <c r="C55" s="266" t="s">
        <v>26</v>
      </c>
      <c r="D55" s="266"/>
      <c r="E55" s="266"/>
      <c r="F55" s="274">
        <f>F39</f>
        <v>323730</v>
      </c>
      <c r="G55" s="274"/>
      <c r="H55" s="43">
        <f>F55/F56</f>
        <v>1</v>
      </c>
      <c r="I55" s="7"/>
      <c r="J55" s="7"/>
      <c r="K55" s="3"/>
    </row>
    <row r="56" spans="1:11">
      <c r="A56" s="9"/>
      <c r="B56" s="9"/>
      <c r="C56" s="7"/>
      <c r="D56" s="7" t="s">
        <v>24</v>
      </c>
      <c r="E56" s="7"/>
      <c r="F56" s="277">
        <f>SUM(F54:G55)</f>
        <v>323730</v>
      </c>
      <c r="G56" s="277"/>
      <c r="H56" s="44">
        <f>SUM(H54:H55)</f>
        <v>1</v>
      </c>
      <c r="I56" s="7"/>
      <c r="J56" s="7"/>
      <c r="K56" s="3"/>
    </row>
    <row r="57" spans="1:11">
      <c r="A57" s="9"/>
      <c r="B57" s="9"/>
      <c r="C57" s="7"/>
      <c r="D57" s="7"/>
      <c r="E57" s="7"/>
      <c r="F57" s="47"/>
      <c r="G57" s="47"/>
      <c r="H57" s="49"/>
      <c r="I57" s="7"/>
      <c r="J57" s="7"/>
      <c r="K57" s="3"/>
    </row>
    <row r="58" spans="1:11">
      <c r="A58" s="9"/>
      <c r="B58" s="9"/>
      <c r="C58" s="7"/>
      <c r="D58" s="3"/>
      <c r="E58" s="278" t="s">
        <v>27</v>
      </c>
      <c r="F58" s="278"/>
      <c r="G58" s="278"/>
      <c r="H58" s="278"/>
      <c r="I58" s="7"/>
      <c r="J58" s="7"/>
      <c r="K58" s="3"/>
    </row>
    <row r="59" spans="1:11">
      <c r="A59" s="9"/>
      <c r="B59" s="9"/>
      <c r="C59" s="7"/>
      <c r="D59" s="56"/>
      <c r="E59" s="7"/>
      <c r="F59" s="7"/>
      <c r="G59" s="7"/>
      <c r="H59" s="7"/>
      <c r="I59" s="7"/>
      <c r="J59" s="7"/>
      <c r="K59" s="3"/>
    </row>
    <row r="60" spans="1:11">
      <c r="A60" s="7"/>
      <c r="B60" s="7"/>
      <c r="C60" s="7"/>
      <c r="D60" s="55" t="s">
        <v>28</v>
      </c>
      <c r="E60" s="275">
        <v>2019</v>
      </c>
      <c r="F60" s="276"/>
      <c r="G60" s="275">
        <v>2020</v>
      </c>
      <c r="H60" s="276"/>
      <c r="I60" s="7"/>
      <c r="J60" s="7"/>
      <c r="K60" s="3"/>
    </row>
    <row r="61" spans="1:11">
      <c r="A61" s="7"/>
      <c r="B61" s="7"/>
      <c r="C61" s="7"/>
      <c r="D61" s="54" t="s">
        <v>29</v>
      </c>
      <c r="E61" s="51" t="s">
        <v>30</v>
      </c>
      <c r="F61" s="51" t="s">
        <v>31</v>
      </c>
      <c r="G61" s="51" t="s">
        <v>30</v>
      </c>
      <c r="H61" s="51" t="s">
        <v>31</v>
      </c>
      <c r="I61" s="7"/>
      <c r="J61" s="7"/>
      <c r="K61" s="3"/>
    </row>
    <row r="62" spans="1:11">
      <c r="A62" s="7"/>
      <c r="B62" s="7"/>
      <c r="C62" s="7"/>
      <c r="D62" s="52"/>
      <c r="E62" s="28"/>
      <c r="F62" s="96"/>
      <c r="G62" s="28"/>
      <c r="H62" s="96"/>
      <c r="I62" s="7"/>
      <c r="J62" s="7"/>
      <c r="K62" s="3"/>
    </row>
    <row r="63" spans="1:11">
      <c r="A63" s="7"/>
      <c r="B63" s="7"/>
      <c r="C63" s="7"/>
      <c r="D63" s="83" t="s">
        <v>32</v>
      </c>
      <c r="E63" s="84">
        <f>'ENE 2021'!$E$68</f>
        <v>417.84</v>
      </c>
      <c r="F63" s="189">
        <v>15</v>
      </c>
      <c r="G63" s="84">
        <f>'ENE 2021'!G46</f>
        <v>1008.93</v>
      </c>
      <c r="H63" s="189">
        <f>'ENE 2021'!H55</f>
        <v>32</v>
      </c>
      <c r="I63" s="7"/>
      <c r="J63" s="7"/>
      <c r="K63" s="3"/>
    </row>
    <row r="64" spans="1:11">
      <c r="A64" s="7"/>
      <c r="B64" s="7"/>
      <c r="C64" s="7"/>
      <c r="D64" s="86" t="s">
        <v>38</v>
      </c>
      <c r="E64" s="84">
        <f>'FEB 2021'!$E$73</f>
        <v>591.57000000000005</v>
      </c>
      <c r="F64" s="178">
        <v>22</v>
      </c>
      <c r="G64" s="31">
        <f>'FEB 2021'!G48</f>
        <v>719.82</v>
      </c>
      <c r="H64" s="178">
        <f>'FEB 2021'!H57</f>
        <v>25</v>
      </c>
      <c r="I64" s="7"/>
      <c r="J64" s="7"/>
      <c r="K64" s="3"/>
    </row>
    <row r="65" spans="1:11">
      <c r="A65" s="7"/>
      <c r="B65" s="7"/>
      <c r="C65" s="7"/>
      <c r="D65" s="88" t="s">
        <v>40</v>
      </c>
      <c r="E65" s="84">
        <f>'MAR 2021'!$E$66</f>
        <v>408.24</v>
      </c>
      <c r="F65" s="178">
        <v>13</v>
      </c>
      <c r="G65" s="31">
        <f>'MAR 2021'!G43</f>
        <v>815.73</v>
      </c>
      <c r="H65" s="178">
        <f>'MAR 2021'!H51</f>
        <v>26</v>
      </c>
      <c r="I65" s="7"/>
      <c r="J65" s="7"/>
      <c r="K65" s="3"/>
    </row>
    <row r="66" spans="1:11">
      <c r="A66" s="7"/>
      <c r="B66" s="7"/>
      <c r="C66" s="7"/>
      <c r="D66" s="87" t="s">
        <v>43</v>
      </c>
      <c r="E66" s="34">
        <v>188.13</v>
      </c>
      <c r="F66" s="180">
        <v>6</v>
      </c>
      <c r="G66" s="89">
        <f>G41</f>
        <v>323.73</v>
      </c>
      <c r="H66" s="180">
        <f>'ABR 2021'!H50</f>
        <v>11</v>
      </c>
      <c r="I66" s="7"/>
      <c r="J66" s="7"/>
      <c r="K66" s="3"/>
    </row>
    <row r="67" spans="1:11">
      <c r="A67" s="7"/>
      <c r="B67" s="7"/>
      <c r="C67" s="7"/>
      <c r="D67" s="7"/>
      <c r="E67" s="7"/>
      <c r="F67" s="7"/>
      <c r="G67" s="7"/>
      <c r="H67" s="7"/>
      <c r="I67" s="7"/>
      <c r="J67" s="7"/>
      <c r="K67" s="3"/>
    </row>
    <row r="68" spans="1:11">
      <c r="A68" s="7"/>
      <c r="B68" s="7"/>
      <c r="C68" s="7"/>
      <c r="D68" s="7"/>
      <c r="E68" s="58">
        <f>SUM(E63:E67)</f>
        <v>1605.7800000000002</v>
      </c>
      <c r="F68" s="59">
        <f>SUM(F63:F67)</f>
        <v>56</v>
      </c>
      <c r="G68" s="58">
        <f>SUM(G63:G66)</f>
        <v>2868.21</v>
      </c>
      <c r="H68" s="59">
        <f>SUM(H63:H66)</f>
        <v>94</v>
      </c>
      <c r="I68" s="7"/>
      <c r="J68" s="7"/>
      <c r="K68" s="3"/>
    </row>
    <row r="69" spans="1:11">
      <c r="A69" s="7"/>
      <c r="B69" s="7"/>
      <c r="C69" s="7"/>
      <c r="D69" s="7"/>
      <c r="E69" s="7"/>
      <c r="F69" s="7"/>
      <c r="G69" s="7"/>
      <c r="H69" s="7"/>
      <c r="I69" s="7"/>
      <c r="J69" s="7"/>
    </row>
    <row r="70" spans="1:11">
      <c r="A70" s="7"/>
      <c r="B70" s="7"/>
      <c r="C70" s="7"/>
      <c r="D70" s="7"/>
      <c r="E70" s="7"/>
      <c r="F70" s="7"/>
      <c r="G70" s="7"/>
      <c r="H70" s="7"/>
      <c r="I70" s="7"/>
      <c r="J70" s="7"/>
    </row>
    <row r="71" spans="1:11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1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1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1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1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1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1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1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1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1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>
      <c r="A82" s="3"/>
      <c r="B82" s="3"/>
      <c r="C82" s="3"/>
      <c r="D82" s="3"/>
      <c r="E82" s="3"/>
      <c r="F82" s="3"/>
      <c r="G82" s="3"/>
      <c r="H82" s="3"/>
      <c r="I82" s="3"/>
      <c r="J82" s="3"/>
    </row>
  </sheetData>
  <mergeCells count="113">
    <mergeCell ref="D20:E20"/>
    <mergeCell ref="E7:H7"/>
    <mergeCell ref="H38:J38"/>
    <mergeCell ref="C45:D45"/>
    <mergeCell ref="E45:F45"/>
    <mergeCell ref="C46:D46"/>
    <mergeCell ref="E46:F46"/>
    <mergeCell ref="D38:E38"/>
    <mergeCell ref="C44:D44"/>
    <mergeCell ref="E44:F44"/>
    <mergeCell ref="F39:G39"/>
    <mergeCell ref="D18:E18"/>
    <mergeCell ref="F18:G18"/>
    <mergeCell ref="D17:E17"/>
    <mergeCell ref="D21:E21"/>
    <mergeCell ref="F32:G32"/>
    <mergeCell ref="F35:G35"/>
    <mergeCell ref="F36:G36"/>
    <mergeCell ref="F27:G27"/>
    <mergeCell ref="F30:G30"/>
    <mergeCell ref="D29:E29"/>
    <mergeCell ref="F29:G29"/>
    <mergeCell ref="D35:E35"/>
    <mergeCell ref="D19:E19"/>
    <mergeCell ref="H17:J17"/>
    <mergeCell ref="F34:G34"/>
    <mergeCell ref="H34:J34"/>
    <mergeCell ref="H19:J19"/>
    <mergeCell ref="H18:J18"/>
    <mergeCell ref="H24:J24"/>
    <mergeCell ref="H25:J25"/>
    <mergeCell ref="F21:G21"/>
    <mergeCell ref="H21:J21"/>
    <mergeCell ref="H23:J23"/>
    <mergeCell ref="F17:G17"/>
    <mergeCell ref="F23:G23"/>
    <mergeCell ref="F24:G24"/>
    <mergeCell ref="H29:J29"/>
    <mergeCell ref="H31:J31"/>
    <mergeCell ref="H32:J32"/>
    <mergeCell ref="F33:G33"/>
    <mergeCell ref="H33:J33"/>
    <mergeCell ref="H20:J20"/>
    <mergeCell ref="F28:G28"/>
    <mergeCell ref="F25:G25"/>
    <mergeCell ref="F20:G20"/>
    <mergeCell ref="F31:G31"/>
    <mergeCell ref="F19:G19"/>
    <mergeCell ref="D13:E13"/>
    <mergeCell ref="F13:G13"/>
    <mergeCell ref="H13:J13"/>
    <mergeCell ref="D14:E14"/>
    <mergeCell ref="F14:G14"/>
    <mergeCell ref="H14:J14"/>
    <mergeCell ref="D16:E16"/>
    <mergeCell ref="F16:G16"/>
    <mergeCell ref="H16:J16"/>
    <mergeCell ref="H15:J15"/>
    <mergeCell ref="D15:E15"/>
    <mergeCell ref="F15:G15"/>
    <mergeCell ref="D10:E10"/>
    <mergeCell ref="F10:G10"/>
    <mergeCell ref="H10:J10"/>
    <mergeCell ref="D11:E11"/>
    <mergeCell ref="F11:G11"/>
    <mergeCell ref="H11:J11"/>
    <mergeCell ref="D12:E12"/>
    <mergeCell ref="F12:G12"/>
    <mergeCell ref="H12:J12"/>
    <mergeCell ref="D34:E34"/>
    <mergeCell ref="H30:J30"/>
    <mergeCell ref="H26:J26"/>
    <mergeCell ref="H28:J28"/>
    <mergeCell ref="H27:J27"/>
    <mergeCell ref="D26:E26"/>
    <mergeCell ref="F26:G26"/>
    <mergeCell ref="D22:E22"/>
    <mergeCell ref="F22:G22"/>
    <mergeCell ref="D23:E23"/>
    <mergeCell ref="D24:E24"/>
    <mergeCell ref="D33:E33"/>
    <mergeCell ref="H22:J22"/>
    <mergeCell ref="D25:E25"/>
    <mergeCell ref="D27:E27"/>
    <mergeCell ref="D28:E28"/>
    <mergeCell ref="D32:E32"/>
    <mergeCell ref="D31:E31"/>
    <mergeCell ref="D30:E30"/>
    <mergeCell ref="E60:F60"/>
    <mergeCell ref="G60:H60"/>
    <mergeCell ref="C55:E55"/>
    <mergeCell ref="F56:G56"/>
    <mergeCell ref="E50:F50"/>
    <mergeCell ref="C53:E53"/>
    <mergeCell ref="F53:G53"/>
    <mergeCell ref="E58:H58"/>
    <mergeCell ref="C54:E54"/>
    <mergeCell ref="F54:G54"/>
    <mergeCell ref="F55:G55"/>
    <mergeCell ref="D37:E37"/>
    <mergeCell ref="H35:J35"/>
    <mergeCell ref="H36:J36"/>
    <mergeCell ref="H37:J37"/>
    <mergeCell ref="F37:G37"/>
    <mergeCell ref="F38:G38"/>
    <mergeCell ref="C49:D49"/>
    <mergeCell ref="E49:F49"/>
    <mergeCell ref="D41:E41"/>
    <mergeCell ref="D36:E36"/>
    <mergeCell ref="C48:D48"/>
    <mergeCell ref="E48:F48"/>
    <mergeCell ref="C47:D47"/>
    <mergeCell ref="E47:F47"/>
  </mergeCells>
  <phoneticPr fontId="0" type="noConversion"/>
  <pageMargins left="0.59055118110236227" right="0.75" top="1" bottom="1" header="0" footer="0"/>
  <pageSetup paperSize="9" scale="68" orientation="portrait" horizontalDpi="4294967293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84"/>
  <sheetViews>
    <sheetView topLeftCell="A30" zoomScaleNormal="100" workbookViewId="0">
      <selection activeCell="F42" sqref="F42:G42"/>
    </sheetView>
  </sheetViews>
  <sheetFormatPr defaultColWidth="9.140625" defaultRowHeight="12.75"/>
  <cols>
    <col min="1" max="2" width="4.28515625" customWidth="1"/>
    <col min="3" max="10" width="12.42578125" customWidth="1"/>
    <col min="11" max="256" width="11.42578125" customWidth="1"/>
  </cols>
  <sheetData>
    <row r="1" spans="1:11">
      <c r="A1" s="3"/>
      <c r="B1" s="3"/>
      <c r="C1" s="4"/>
      <c r="D1" s="4"/>
      <c r="E1" s="4"/>
      <c r="F1" s="4"/>
      <c r="G1" s="4"/>
      <c r="H1" s="4"/>
      <c r="I1" s="4"/>
      <c r="J1" s="4"/>
      <c r="K1" s="3"/>
    </row>
    <row r="2" spans="1:11">
      <c r="A2" s="5"/>
      <c r="B2" s="5"/>
      <c r="C2" s="3"/>
      <c r="D2" s="3"/>
      <c r="E2" s="3"/>
      <c r="F2" s="3"/>
      <c r="G2" s="3"/>
      <c r="H2" s="3"/>
      <c r="I2" s="3"/>
      <c r="J2" s="3"/>
      <c r="K2" s="3"/>
    </row>
    <row r="3" spans="1:11">
      <c r="A3" s="5"/>
      <c r="B3" s="5"/>
      <c r="C3" s="3"/>
      <c r="D3" s="3"/>
      <c r="E3" s="3"/>
      <c r="F3" s="3"/>
      <c r="G3" s="3"/>
      <c r="H3" s="3"/>
      <c r="I3" s="3"/>
      <c r="J3" s="3"/>
      <c r="K3" s="3"/>
    </row>
    <row r="4" spans="1:11">
      <c r="A4" s="6"/>
      <c r="B4" s="6"/>
      <c r="C4" s="3"/>
      <c r="D4" s="3"/>
      <c r="E4" s="3"/>
      <c r="F4" s="3"/>
      <c r="G4" s="3"/>
      <c r="H4" s="3"/>
      <c r="I4" s="3"/>
      <c r="J4" s="3"/>
      <c r="K4" s="3"/>
    </row>
    <row r="5" spans="1:11">
      <c r="A5" s="5"/>
      <c r="B5" s="5"/>
      <c r="C5" s="3"/>
      <c r="D5" s="3"/>
      <c r="E5" s="3"/>
      <c r="F5" s="3"/>
      <c r="G5" s="3"/>
      <c r="H5" s="3"/>
      <c r="I5" s="3"/>
      <c r="J5" s="3"/>
      <c r="K5" s="3"/>
    </row>
    <row r="6" spans="1:11">
      <c r="A6" s="6"/>
      <c r="B6" s="6"/>
      <c r="C6" s="3"/>
      <c r="D6" s="3"/>
      <c r="E6" s="3"/>
      <c r="F6" s="3"/>
      <c r="G6" s="3"/>
      <c r="H6" s="3"/>
      <c r="I6" s="3"/>
      <c r="J6" s="3"/>
      <c r="K6" s="3"/>
    </row>
    <row r="7" spans="1:11">
      <c r="A7" s="6"/>
      <c r="B7" s="6"/>
      <c r="C7" s="3"/>
      <c r="D7" s="3"/>
      <c r="E7" s="284" t="s">
        <v>1</v>
      </c>
      <c r="F7" s="284"/>
      <c r="G7" s="284"/>
      <c r="H7" s="284"/>
      <c r="I7" s="237" t="s">
        <v>44</v>
      </c>
      <c r="J7" s="226">
        <f>CARÁTULA!$F$16</f>
        <v>2021</v>
      </c>
      <c r="K7" s="3"/>
    </row>
    <row r="8" spans="1:11">
      <c r="A8" s="6"/>
      <c r="B8" s="6"/>
      <c r="C8" s="3"/>
      <c r="D8" s="3"/>
      <c r="E8" s="3"/>
      <c r="F8" s="3"/>
      <c r="G8" s="3"/>
      <c r="H8" s="3"/>
      <c r="I8" s="3"/>
      <c r="J8" s="3"/>
      <c r="K8" s="3"/>
    </row>
    <row r="9" spans="1:11">
      <c r="A9" s="7"/>
      <c r="B9" s="7"/>
      <c r="C9" s="8"/>
      <c r="D9" s="8"/>
      <c r="E9" s="7"/>
      <c r="F9" s="8"/>
      <c r="G9" s="8"/>
      <c r="H9" s="8"/>
      <c r="I9" s="7"/>
      <c r="J9" s="7"/>
      <c r="K9" s="3"/>
    </row>
    <row r="10" spans="1:11">
      <c r="A10" s="9"/>
      <c r="B10" s="241" t="s">
        <v>3</v>
      </c>
      <c r="C10" s="241" t="s">
        <v>4</v>
      </c>
      <c r="D10" s="267" t="s">
        <v>5</v>
      </c>
      <c r="E10" s="267"/>
      <c r="F10" s="267" t="s">
        <v>6</v>
      </c>
      <c r="G10" s="267"/>
      <c r="H10" s="267" t="s">
        <v>7</v>
      </c>
      <c r="I10" s="267"/>
      <c r="J10" s="267"/>
      <c r="K10" s="3"/>
    </row>
    <row r="11" spans="1:11">
      <c r="A11" s="9"/>
      <c r="B11" s="9">
        <v>110</v>
      </c>
      <c r="C11" s="42">
        <v>44324</v>
      </c>
      <c r="D11" s="334" t="s">
        <v>14</v>
      </c>
      <c r="E11" s="334"/>
      <c r="F11" s="269">
        <v>24600</v>
      </c>
      <c r="G11" s="269"/>
      <c r="H11" s="266" t="s">
        <v>42</v>
      </c>
      <c r="I11" s="266"/>
      <c r="J11" s="266"/>
      <c r="K11" s="3"/>
    </row>
    <row r="12" spans="1:11">
      <c r="A12" s="9"/>
      <c r="B12" s="9">
        <v>111</v>
      </c>
      <c r="C12" s="42">
        <v>44324</v>
      </c>
      <c r="D12" s="335" t="s">
        <v>8</v>
      </c>
      <c r="E12" s="335"/>
      <c r="F12" s="269">
        <v>33090</v>
      </c>
      <c r="G12" s="269"/>
      <c r="H12" s="266" t="s">
        <v>42</v>
      </c>
      <c r="I12" s="266"/>
      <c r="J12" s="266"/>
      <c r="K12" s="3"/>
    </row>
    <row r="13" spans="1:11">
      <c r="A13" s="9"/>
      <c r="B13" s="9">
        <v>112</v>
      </c>
      <c r="C13" s="42">
        <v>44329</v>
      </c>
      <c r="D13" s="335" t="s">
        <v>8</v>
      </c>
      <c r="E13" s="335"/>
      <c r="F13" s="269">
        <v>13500</v>
      </c>
      <c r="G13" s="269"/>
      <c r="H13" s="266" t="s">
        <v>42</v>
      </c>
      <c r="I13" s="266"/>
      <c r="J13" s="266"/>
      <c r="K13" s="3"/>
    </row>
    <row r="14" spans="1:11">
      <c r="A14" s="9"/>
      <c r="B14" s="9">
        <v>113</v>
      </c>
      <c r="C14" s="42">
        <v>44333</v>
      </c>
      <c r="D14" s="335" t="s">
        <v>8</v>
      </c>
      <c r="E14" s="335"/>
      <c r="F14" s="269">
        <v>24810</v>
      </c>
      <c r="G14" s="269"/>
      <c r="H14" s="266" t="s">
        <v>42</v>
      </c>
      <c r="I14" s="266"/>
      <c r="J14" s="266"/>
      <c r="K14" s="3"/>
    </row>
    <row r="15" spans="1:11">
      <c r="A15" s="9"/>
      <c r="B15" s="9">
        <v>114</v>
      </c>
      <c r="C15" s="42">
        <v>44336</v>
      </c>
      <c r="D15" s="335" t="s">
        <v>8</v>
      </c>
      <c r="E15" s="335"/>
      <c r="F15" s="269">
        <v>22950</v>
      </c>
      <c r="G15" s="269"/>
      <c r="H15" s="266" t="s">
        <v>42</v>
      </c>
      <c r="I15" s="266"/>
      <c r="J15" s="266"/>
      <c r="K15" s="3"/>
    </row>
    <row r="16" spans="1:11">
      <c r="A16" s="9"/>
      <c r="B16" s="9">
        <v>115</v>
      </c>
      <c r="C16" s="42">
        <v>44330</v>
      </c>
      <c r="D16" s="335" t="s">
        <v>14</v>
      </c>
      <c r="E16" s="335"/>
      <c r="F16" s="269">
        <v>23400</v>
      </c>
      <c r="G16" s="269"/>
      <c r="H16" s="266" t="s">
        <v>42</v>
      </c>
      <c r="I16" s="266"/>
      <c r="J16" s="266"/>
      <c r="K16" s="3"/>
    </row>
    <row r="17" spans="1:11">
      <c r="A17" s="9"/>
      <c r="B17" s="9"/>
      <c r="C17" s="42"/>
      <c r="D17" s="335"/>
      <c r="E17" s="335"/>
      <c r="F17" s="269"/>
      <c r="G17" s="269"/>
      <c r="H17" s="266"/>
      <c r="I17" s="266"/>
      <c r="J17" s="266"/>
      <c r="K17" s="3"/>
    </row>
    <row r="18" spans="1:11">
      <c r="A18" s="9"/>
      <c r="B18" s="9"/>
      <c r="C18" s="42"/>
      <c r="D18" s="335"/>
      <c r="E18" s="335"/>
      <c r="F18" s="269"/>
      <c r="G18" s="269"/>
      <c r="H18" s="266"/>
      <c r="I18" s="266"/>
      <c r="J18" s="266"/>
      <c r="K18" s="3"/>
    </row>
    <row r="19" spans="1:11">
      <c r="A19" s="9"/>
      <c r="B19" s="9"/>
      <c r="C19" s="42"/>
      <c r="D19" s="335"/>
      <c r="E19" s="335"/>
      <c r="F19" s="269"/>
      <c r="G19" s="269"/>
      <c r="H19" s="266"/>
      <c r="I19" s="266"/>
      <c r="J19" s="266"/>
      <c r="K19" s="3"/>
    </row>
    <row r="20" spans="1:11">
      <c r="A20" s="9"/>
      <c r="B20" s="9"/>
      <c r="C20" s="42"/>
      <c r="D20" s="335"/>
      <c r="E20" s="335"/>
      <c r="F20" s="269"/>
      <c r="G20" s="269"/>
      <c r="H20" s="266"/>
      <c r="I20" s="266"/>
      <c r="J20" s="266"/>
      <c r="K20" s="3"/>
    </row>
    <row r="21" spans="1:11">
      <c r="A21" s="9"/>
      <c r="B21" s="9"/>
      <c r="C21" s="42"/>
      <c r="D21" s="335"/>
      <c r="E21" s="335"/>
      <c r="F21" s="269"/>
      <c r="G21" s="269"/>
      <c r="H21" s="266"/>
      <c r="I21" s="266"/>
      <c r="J21" s="266"/>
      <c r="K21" s="3"/>
    </row>
    <row r="22" spans="1:11">
      <c r="A22" s="9"/>
      <c r="B22" s="9"/>
      <c r="C22" s="42"/>
      <c r="D22" s="335"/>
      <c r="E22" s="335"/>
      <c r="F22" s="269"/>
      <c r="G22" s="269"/>
      <c r="H22" s="266"/>
      <c r="I22" s="266"/>
      <c r="J22" s="266"/>
      <c r="K22" s="3"/>
    </row>
    <row r="23" spans="1:11">
      <c r="A23" s="9"/>
      <c r="B23" s="9"/>
      <c r="C23" s="42"/>
      <c r="D23" s="335"/>
      <c r="E23" s="335"/>
      <c r="F23" s="269"/>
      <c r="G23" s="269"/>
      <c r="H23" s="266"/>
      <c r="I23" s="266"/>
      <c r="J23" s="266"/>
      <c r="K23" s="3"/>
    </row>
    <row r="24" spans="1:11">
      <c r="A24" s="9"/>
      <c r="B24" s="9"/>
      <c r="C24" s="42"/>
      <c r="D24" s="335"/>
      <c r="E24" s="335"/>
      <c r="F24" s="269"/>
      <c r="G24" s="269"/>
      <c r="H24" s="266"/>
      <c r="I24" s="266"/>
      <c r="J24" s="266"/>
      <c r="K24" s="3"/>
    </row>
    <row r="25" spans="1:11">
      <c r="A25" s="9"/>
      <c r="B25" s="9"/>
      <c r="C25" s="42"/>
      <c r="D25" s="335"/>
      <c r="E25" s="335"/>
      <c r="F25" s="269"/>
      <c r="G25" s="269"/>
      <c r="H25" s="266"/>
      <c r="I25" s="266"/>
      <c r="J25" s="266"/>
      <c r="K25" s="3"/>
    </row>
    <row r="26" spans="1:11">
      <c r="A26" s="9"/>
      <c r="B26" s="9"/>
      <c r="C26" s="42"/>
      <c r="D26" s="335"/>
      <c r="E26" s="335"/>
      <c r="F26" s="269"/>
      <c r="G26" s="269"/>
      <c r="H26" s="266"/>
      <c r="I26" s="266"/>
      <c r="J26" s="266"/>
      <c r="K26" s="3"/>
    </row>
    <row r="27" spans="1:11">
      <c r="A27" s="9"/>
      <c r="B27" s="9"/>
      <c r="C27" s="42"/>
      <c r="D27" s="335"/>
      <c r="E27" s="335"/>
      <c r="F27" s="269"/>
      <c r="G27" s="269"/>
      <c r="H27" s="266"/>
      <c r="I27" s="266"/>
      <c r="J27" s="266"/>
      <c r="K27" s="3"/>
    </row>
    <row r="28" spans="1:11">
      <c r="A28" s="9"/>
      <c r="B28" s="9"/>
      <c r="C28" s="42"/>
      <c r="D28" s="335"/>
      <c r="E28" s="335"/>
      <c r="F28" s="269"/>
      <c r="G28" s="269"/>
      <c r="H28" s="266"/>
      <c r="I28" s="266"/>
      <c r="J28" s="266"/>
      <c r="K28" s="3"/>
    </row>
    <row r="29" spans="1:11">
      <c r="A29" s="9"/>
      <c r="B29" s="9"/>
      <c r="C29" s="42"/>
      <c r="D29" s="335"/>
      <c r="E29" s="335"/>
      <c r="F29" s="269"/>
      <c r="G29" s="269"/>
      <c r="H29" s="266"/>
      <c r="I29" s="266"/>
      <c r="J29" s="266"/>
      <c r="K29" s="3"/>
    </row>
    <row r="30" spans="1:11">
      <c r="A30" s="9"/>
      <c r="B30" s="9"/>
      <c r="C30" s="42"/>
      <c r="D30" s="335"/>
      <c r="E30" s="335"/>
      <c r="F30" s="269"/>
      <c r="G30" s="269"/>
      <c r="H30" s="266"/>
      <c r="I30" s="266"/>
      <c r="J30" s="266"/>
      <c r="K30" s="3"/>
    </row>
    <row r="31" spans="1:11">
      <c r="A31" s="9"/>
      <c r="B31" s="9"/>
      <c r="C31" s="42"/>
      <c r="D31" s="335"/>
      <c r="E31" s="335"/>
      <c r="F31" s="269"/>
      <c r="G31" s="269"/>
      <c r="H31" s="266"/>
      <c r="I31" s="266"/>
      <c r="J31" s="266"/>
      <c r="K31" s="3"/>
    </row>
    <row r="32" spans="1:11">
      <c r="A32" s="9"/>
      <c r="B32" s="9"/>
      <c r="C32" s="42"/>
      <c r="D32" s="335"/>
      <c r="E32" s="335"/>
      <c r="F32" s="269"/>
      <c r="G32" s="269"/>
      <c r="H32" s="266"/>
      <c r="I32" s="266"/>
      <c r="J32" s="266"/>
      <c r="K32" s="3"/>
    </row>
    <row r="33" spans="1:11">
      <c r="A33" s="9"/>
      <c r="B33" s="9"/>
      <c r="C33" s="42"/>
      <c r="D33" s="335"/>
      <c r="E33" s="335"/>
      <c r="F33" s="269"/>
      <c r="G33" s="269"/>
      <c r="H33" s="266"/>
      <c r="I33" s="266"/>
      <c r="J33" s="266"/>
      <c r="K33" s="3"/>
    </row>
    <row r="34" spans="1:11">
      <c r="A34" s="9"/>
      <c r="B34" s="9"/>
      <c r="C34" s="42"/>
      <c r="D34" s="266"/>
      <c r="E34" s="266"/>
      <c r="F34" s="269"/>
      <c r="G34" s="269"/>
      <c r="H34" s="266"/>
      <c r="I34" s="266"/>
      <c r="J34" s="9"/>
      <c r="K34" s="3"/>
    </row>
    <row r="35" spans="1:11">
      <c r="A35" s="9"/>
      <c r="B35" s="9"/>
      <c r="C35" s="42"/>
      <c r="D35" s="266"/>
      <c r="E35" s="266"/>
      <c r="F35" s="269"/>
      <c r="G35" s="269"/>
      <c r="H35" s="266"/>
      <c r="I35" s="266"/>
      <c r="J35" s="9"/>
      <c r="K35" s="3"/>
    </row>
    <row r="36" spans="1:11">
      <c r="A36" s="9"/>
      <c r="B36" s="9"/>
      <c r="C36" s="42"/>
      <c r="D36" s="266"/>
      <c r="E36" s="266"/>
      <c r="F36" s="269"/>
      <c r="G36" s="269"/>
      <c r="H36" s="266"/>
      <c r="I36" s="266"/>
      <c r="J36" s="9"/>
      <c r="K36" s="3"/>
    </row>
    <row r="37" spans="1:11">
      <c r="A37" s="9"/>
      <c r="B37" s="9"/>
      <c r="C37" s="42"/>
      <c r="D37" s="266"/>
      <c r="E37" s="266"/>
      <c r="F37" s="269"/>
      <c r="G37" s="269"/>
      <c r="H37" s="266"/>
      <c r="I37" s="266"/>
      <c r="J37" s="9"/>
      <c r="K37" s="3"/>
    </row>
    <row r="38" spans="1:11">
      <c r="A38" s="9"/>
      <c r="B38" s="9"/>
      <c r="C38" s="42"/>
      <c r="D38" s="266"/>
      <c r="E38" s="266"/>
      <c r="F38" s="269"/>
      <c r="G38" s="269"/>
      <c r="H38" s="266"/>
      <c r="I38" s="266"/>
      <c r="J38" s="9"/>
      <c r="K38" s="3"/>
    </row>
    <row r="39" spans="1:11">
      <c r="A39" s="9"/>
      <c r="B39" s="9"/>
      <c r="C39" s="42"/>
      <c r="D39" s="266"/>
      <c r="E39" s="266"/>
      <c r="F39" s="269"/>
      <c r="G39" s="269"/>
      <c r="H39" s="266"/>
      <c r="I39" s="266"/>
      <c r="J39" s="9"/>
      <c r="K39" s="3"/>
    </row>
    <row r="40" spans="1:11">
      <c r="A40" s="9"/>
      <c r="B40" s="9"/>
      <c r="C40" s="42"/>
      <c r="D40" s="335"/>
      <c r="E40" s="335"/>
      <c r="F40" s="269"/>
      <c r="G40" s="269"/>
      <c r="H40" s="266"/>
      <c r="I40" s="266"/>
      <c r="J40" s="266"/>
      <c r="K40" s="3"/>
    </row>
    <row r="41" spans="1:11">
      <c r="A41" s="9"/>
      <c r="B41" s="9"/>
      <c r="C41" s="42"/>
      <c r="D41" s="266"/>
      <c r="E41" s="266"/>
      <c r="F41" s="274"/>
      <c r="G41" s="274"/>
      <c r="H41" s="266"/>
      <c r="I41" s="266"/>
      <c r="J41" s="9"/>
      <c r="K41" s="3"/>
    </row>
    <row r="42" spans="1:11">
      <c r="A42" s="9"/>
      <c r="B42" s="9"/>
      <c r="C42" s="11"/>
      <c r="D42" s="18"/>
      <c r="E42" s="10"/>
      <c r="F42" s="280">
        <f>SUM(F11:G41)</f>
        <v>142350</v>
      </c>
      <c r="G42" s="281"/>
      <c r="H42" s="18"/>
      <c r="I42" s="18"/>
      <c r="J42" s="18"/>
      <c r="K42" s="3"/>
    </row>
    <row r="43" spans="1:11">
      <c r="A43" s="9"/>
      <c r="B43" s="9"/>
      <c r="C43" s="7"/>
      <c r="D43" s="7"/>
      <c r="E43" s="13"/>
      <c r="F43" s="7"/>
      <c r="G43" s="7"/>
      <c r="H43" s="7"/>
      <c r="I43" s="7"/>
      <c r="J43" s="7"/>
      <c r="K43" s="3"/>
    </row>
    <row r="44" spans="1:11">
      <c r="A44" s="9"/>
      <c r="B44" s="9"/>
      <c r="C44" s="7"/>
      <c r="D44" s="282" t="s">
        <v>15</v>
      </c>
      <c r="E44" s="282"/>
      <c r="F44" s="7"/>
      <c r="G44" s="41">
        <f>F42/1000</f>
        <v>142.35</v>
      </c>
      <c r="H44" s="7"/>
      <c r="I44" s="12"/>
      <c r="J44" s="7"/>
      <c r="K44" s="3"/>
    </row>
    <row r="45" spans="1:11">
      <c r="A45" s="9"/>
      <c r="B45" s="9"/>
      <c r="C45" s="7"/>
      <c r="D45" s="7"/>
      <c r="E45" s="7"/>
      <c r="F45" s="7"/>
      <c r="G45" s="7"/>
      <c r="H45" s="7"/>
      <c r="I45" s="7"/>
      <c r="J45" s="7"/>
      <c r="K45" s="3"/>
    </row>
    <row r="46" spans="1:11">
      <c r="A46" s="9"/>
      <c r="B46" s="9"/>
      <c r="C46" s="267" t="s">
        <v>16</v>
      </c>
      <c r="D46" s="267"/>
      <c r="E46" s="267" t="s">
        <v>17</v>
      </c>
      <c r="F46" s="267"/>
      <c r="G46" s="241" t="s">
        <v>18</v>
      </c>
      <c r="H46" s="241" t="s">
        <v>19</v>
      </c>
      <c r="I46" s="7"/>
      <c r="J46" s="7"/>
      <c r="K46" s="3"/>
    </row>
    <row r="47" spans="1:11">
      <c r="A47" s="9"/>
      <c r="B47" s="9"/>
      <c r="C47" s="279" t="s">
        <v>20</v>
      </c>
      <c r="D47" s="279"/>
      <c r="E47" s="269">
        <f>F11+F16</f>
        <v>48000</v>
      </c>
      <c r="F47" s="269"/>
      <c r="G47" s="43">
        <f>E47/E52</f>
        <v>0.33719704952581664</v>
      </c>
      <c r="H47" s="45">
        <v>2</v>
      </c>
      <c r="I47" s="7"/>
      <c r="J47" s="7"/>
      <c r="K47" s="3"/>
    </row>
    <row r="48" spans="1:11">
      <c r="A48" s="9"/>
      <c r="B48" s="9"/>
      <c r="C48" s="266" t="s">
        <v>21</v>
      </c>
      <c r="D48" s="266"/>
      <c r="E48" s="269">
        <v>0</v>
      </c>
      <c r="F48" s="269"/>
      <c r="G48" s="43">
        <f>E48/E52</f>
        <v>0</v>
      </c>
      <c r="H48" s="45">
        <v>0</v>
      </c>
      <c r="I48" s="7"/>
      <c r="J48" s="7"/>
      <c r="K48" s="3"/>
    </row>
    <row r="49" spans="1:11">
      <c r="A49" s="9"/>
      <c r="B49" s="9"/>
      <c r="C49" s="266" t="s">
        <v>22</v>
      </c>
      <c r="D49" s="266"/>
      <c r="E49" s="269">
        <f>F12+F13+F14+F15</f>
        <v>94350</v>
      </c>
      <c r="F49" s="269"/>
      <c r="G49" s="43">
        <f>E49/E52</f>
        <v>0.66280295047418336</v>
      </c>
      <c r="H49" s="45">
        <v>4</v>
      </c>
      <c r="I49" s="7"/>
      <c r="J49" s="7"/>
      <c r="K49" s="3"/>
    </row>
    <row r="50" spans="1:11">
      <c r="A50" s="9"/>
      <c r="B50" s="9"/>
      <c r="C50" s="266" t="s">
        <v>23</v>
      </c>
      <c r="D50" s="266"/>
      <c r="E50" s="269">
        <v>0</v>
      </c>
      <c r="F50" s="269"/>
      <c r="G50" s="43">
        <f>E50/E52</f>
        <v>0</v>
      </c>
      <c r="H50" s="45">
        <v>0</v>
      </c>
      <c r="I50" s="7"/>
      <c r="J50" s="7"/>
      <c r="K50" s="3"/>
    </row>
    <row r="51" spans="1:11">
      <c r="A51" s="9"/>
      <c r="B51" s="9"/>
      <c r="C51" s="266" t="s">
        <v>37</v>
      </c>
      <c r="D51" s="266"/>
      <c r="E51" s="269">
        <v>0</v>
      </c>
      <c r="F51" s="269"/>
      <c r="G51" s="43">
        <f>E51/E52</f>
        <v>0</v>
      </c>
      <c r="H51" s="45">
        <v>0</v>
      </c>
      <c r="I51" s="7"/>
      <c r="J51" s="7"/>
      <c r="K51" s="3"/>
    </row>
    <row r="52" spans="1:11">
      <c r="A52" s="9"/>
      <c r="B52" s="9"/>
      <c r="C52" s="14"/>
      <c r="D52" s="238" t="s">
        <v>24</v>
      </c>
      <c r="E52" s="337">
        <f>SUM(E47:F51)</f>
        <v>142350</v>
      </c>
      <c r="F52" s="337"/>
      <c r="G52" s="44">
        <f>SUM(G47:G51)</f>
        <v>1</v>
      </c>
      <c r="H52" s="46">
        <f>SUM(H47:H51)</f>
        <v>6</v>
      </c>
      <c r="I52" s="7"/>
      <c r="J52" s="7"/>
      <c r="K52" s="3"/>
    </row>
    <row r="53" spans="1:11">
      <c r="A53" s="9"/>
      <c r="B53" s="9"/>
      <c r="C53" s="15"/>
      <c r="D53" s="15"/>
      <c r="E53" s="10"/>
      <c r="F53" s="10"/>
      <c r="G53" s="10"/>
      <c r="H53" s="7"/>
      <c r="I53" s="7"/>
      <c r="J53" s="7"/>
      <c r="K53" s="3"/>
    </row>
    <row r="54" spans="1:11">
      <c r="A54" s="9"/>
      <c r="B54" s="9"/>
      <c r="C54" s="270" t="s">
        <v>7</v>
      </c>
      <c r="D54" s="271"/>
      <c r="E54" s="272"/>
      <c r="F54" s="273" t="s">
        <v>6</v>
      </c>
      <c r="G54" s="267"/>
      <c r="H54" s="241" t="s">
        <v>18</v>
      </c>
      <c r="I54" s="7"/>
      <c r="J54" s="7"/>
      <c r="K54" s="3"/>
    </row>
    <row r="55" spans="1:11">
      <c r="A55" s="9"/>
      <c r="B55" s="9"/>
      <c r="C55" s="266" t="s">
        <v>25</v>
      </c>
      <c r="D55" s="266"/>
      <c r="E55" s="266"/>
      <c r="F55" s="283">
        <v>0</v>
      </c>
      <c r="G55" s="283"/>
      <c r="H55" s="43">
        <f>F55/F57</f>
        <v>0</v>
      </c>
      <c r="I55" s="7"/>
      <c r="J55" s="7"/>
      <c r="K55" s="3"/>
    </row>
    <row r="56" spans="1:11">
      <c r="A56" s="9"/>
      <c r="B56" s="9"/>
      <c r="C56" s="266" t="s">
        <v>26</v>
      </c>
      <c r="D56" s="266"/>
      <c r="E56" s="266"/>
      <c r="F56" s="274">
        <f>G44</f>
        <v>142.35</v>
      </c>
      <c r="G56" s="274"/>
      <c r="H56" s="43">
        <f>F56/F57</f>
        <v>1</v>
      </c>
      <c r="I56" s="7"/>
      <c r="J56" s="12"/>
      <c r="K56" s="3"/>
    </row>
    <row r="57" spans="1:11">
      <c r="A57" s="9"/>
      <c r="B57" s="9"/>
      <c r="C57" s="7"/>
      <c r="D57" s="7" t="s">
        <v>24</v>
      </c>
      <c r="E57" s="7"/>
      <c r="F57" s="277">
        <f>SUM(F55:G56)</f>
        <v>142.35</v>
      </c>
      <c r="G57" s="277"/>
      <c r="H57" s="44">
        <f>SUM(H55:H56)</f>
        <v>1</v>
      </c>
      <c r="I57" s="7"/>
      <c r="J57" s="7"/>
      <c r="K57" s="3"/>
    </row>
    <row r="58" spans="1:11">
      <c r="A58" s="9"/>
      <c r="B58" s="9"/>
      <c r="C58" s="7"/>
      <c r="D58" s="7"/>
      <c r="E58" s="7"/>
      <c r="F58" s="47"/>
      <c r="G58" s="47"/>
      <c r="H58" s="49"/>
      <c r="I58" s="7"/>
      <c r="J58" s="7"/>
      <c r="K58" s="3"/>
    </row>
    <row r="59" spans="1:11">
      <c r="A59" s="9"/>
      <c r="B59" s="9"/>
      <c r="C59" s="7"/>
      <c r="D59" s="3"/>
      <c r="E59" s="278" t="s">
        <v>27</v>
      </c>
      <c r="F59" s="278"/>
      <c r="G59" s="278"/>
      <c r="H59" s="278"/>
      <c r="I59" s="7"/>
      <c r="J59" s="7"/>
      <c r="K59" s="3"/>
    </row>
    <row r="60" spans="1:11">
      <c r="A60" s="9"/>
      <c r="B60" s="9"/>
      <c r="C60" s="7"/>
      <c r="D60" s="56"/>
      <c r="E60" s="7"/>
      <c r="F60" s="7"/>
      <c r="G60" s="7"/>
      <c r="H60" s="7"/>
      <c r="I60" s="7"/>
      <c r="J60" s="7"/>
      <c r="K60" s="3"/>
    </row>
    <row r="61" spans="1:11">
      <c r="A61" s="7"/>
      <c r="B61" s="7"/>
      <c r="C61" s="7"/>
      <c r="D61" s="55" t="s">
        <v>28</v>
      </c>
      <c r="E61" s="275">
        <v>2020</v>
      </c>
      <c r="F61" s="276"/>
      <c r="G61" s="275">
        <v>2021</v>
      </c>
      <c r="H61" s="276"/>
      <c r="I61" s="7"/>
      <c r="J61" s="7"/>
      <c r="K61" s="3"/>
    </row>
    <row r="62" spans="1:11">
      <c r="A62" s="7"/>
      <c r="B62" s="7"/>
      <c r="C62" s="7"/>
      <c r="D62" s="54" t="s">
        <v>29</v>
      </c>
      <c r="E62" s="51" t="s">
        <v>30</v>
      </c>
      <c r="F62" s="51" t="s">
        <v>31</v>
      </c>
      <c r="G62" s="51" t="s">
        <v>30</v>
      </c>
      <c r="H62" s="51" t="s">
        <v>31</v>
      </c>
      <c r="I62" s="7"/>
      <c r="J62" s="7"/>
      <c r="K62" s="3"/>
    </row>
    <row r="63" spans="1:11">
      <c r="A63" s="7"/>
      <c r="B63" s="7"/>
      <c r="C63" s="7"/>
      <c r="D63" s="52"/>
      <c r="E63" s="28"/>
      <c r="F63" s="96"/>
      <c r="G63" s="28"/>
      <c r="H63" s="96"/>
      <c r="I63" s="7"/>
      <c r="J63" s="7"/>
      <c r="K63" s="3"/>
    </row>
    <row r="64" spans="1:11">
      <c r="A64" s="7"/>
      <c r="B64" s="7"/>
      <c r="C64" s="7"/>
      <c r="D64" s="83" t="s">
        <v>32</v>
      </c>
      <c r="E64" s="84">
        <f>'ABR 2021'!E63</f>
        <v>417.84</v>
      </c>
      <c r="F64" s="177">
        <v>15</v>
      </c>
      <c r="G64" s="84">
        <f>'ENE 2021'!G46</f>
        <v>1008.93</v>
      </c>
      <c r="H64" s="189">
        <f>'ENE 2021'!H55</f>
        <v>32</v>
      </c>
      <c r="I64" s="7"/>
      <c r="J64" s="7"/>
      <c r="K64" s="3"/>
    </row>
    <row r="65" spans="1:11">
      <c r="A65" s="7"/>
      <c r="B65" s="7"/>
      <c r="C65" s="7"/>
      <c r="D65" s="86" t="s">
        <v>38</v>
      </c>
      <c r="E65" s="84">
        <f>'FEB 2021'!$E$73</f>
        <v>591.57000000000005</v>
      </c>
      <c r="F65" s="178">
        <v>22</v>
      </c>
      <c r="G65" s="31">
        <f>'FEB 2021'!G48</f>
        <v>719.82</v>
      </c>
      <c r="H65" s="178">
        <f>'FEB 2021'!H57</f>
        <v>25</v>
      </c>
      <c r="I65" s="7"/>
      <c r="J65" s="7"/>
      <c r="K65" s="3"/>
    </row>
    <row r="66" spans="1:11">
      <c r="A66" s="7"/>
      <c r="B66" s="7"/>
      <c r="C66" s="7"/>
      <c r="D66" s="88" t="s">
        <v>40</v>
      </c>
      <c r="E66" s="84">
        <f>'MAR 2021'!$E$66</f>
        <v>408.24</v>
      </c>
      <c r="F66" s="178">
        <v>13</v>
      </c>
      <c r="G66" s="31">
        <f>'MAR 2021'!G43</f>
        <v>815.73</v>
      </c>
      <c r="H66" s="178">
        <f>'MAR 2021'!H51</f>
        <v>26</v>
      </c>
      <c r="I66" s="7"/>
      <c r="J66" s="7"/>
      <c r="K66" s="3"/>
    </row>
    <row r="67" spans="1:11">
      <c r="A67" s="7"/>
      <c r="B67" s="7"/>
      <c r="C67" s="7"/>
      <c r="D67" s="88" t="s">
        <v>43</v>
      </c>
      <c r="E67" s="84">
        <f>'ABR 2021'!$E$66</f>
        <v>188.13</v>
      </c>
      <c r="F67" s="178">
        <v>6</v>
      </c>
      <c r="G67" s="36">
        <f>'ABR 2021'!G41</f>
        <v>323.73</v>
      </c>
      <c r="H67" s="178">
        <f>'ABR 2021'!H50</f>
        <v>11</v>
      </c>
      <c r="I67" s="7"/>
      <c r="J67" s="7"/>
      <c r="K67" s="3"/>
    </row>
    <row r="68" spans="1:11">
      <c r="A68" s="7"/>
      <c r="B68" s="7"/>
      <c r="C68" s="7"/>
      <c r="D68" s="53" t="s">
        <v>45</v>
      </c>
      <c r="E68" s="89">
        <v>279.93</v>
      </c>
      <c r="F68" s="180">
        <v>8</v>
      </c>
      <c r="G68" s="34">
        <f>G44</f>
        <v>142.35</v>
      </c>
      <c r="H68" s="180">
        <f>'MAY 2021'!H52</f>
        <v>6</v>
      </c>
      <c r="I68" s="7"/>
      <c r="J68" s="7"/>
      <c r="K68" s="3"/>
    </row>
    <row r="69" spans="1:11">
      <c r="A69" s="7"/>
      <c r="B69" s="7"/>
      <c r="C69" s="7"/>
      <c r="D69" s="7"/>
      <c r="E69" s="7"/>
      <c r="F69" s="7"/>
      <c r="G69" s="7"/>
      <c r="H69" s="7"/>
      <c r="I69" s="7"/>
      <c r="J69" s="7"/>
      <c r="K69" s="3"/>
    </row>
    <row r="70" spans="1:11">
      <c r="A70" s="7"/>
      <c r="B70" s="7"/>
      <c r="C70" s="7"/>
      <c r="D70" s="7"/>
      <c r="E70" s="58">
        <f>SUM(E64:E69)</f>
        <v>1885.7100000000003</v>
      </c>
      <c r="F70" s="59">
        <f>SUM(F64:F69)</f>
        <v>64</v>
      </c>
      <c r="G70" s="58">
        <f>SUM(G64:G68)</f>
        <v>3010.56</v>
      </c>
      <c r="H70" s="59">
        <f>SUM(H64:H68)</f>
        <v>100</v>
      </c>
      <c r="I70" s="7"/>
      <c r="J70" s="7"/>
      <c r="K70" s="3"/>
    </row>
    <row r="71" spans="1:11">
      <c r="A71" s="7"/>
      <c r="B71" s="7"/>
      <c r="C71" s="7"/>
      <c r="D71" s="7"/>
      <c r="E71" s="7"/>
      <c r="F71" s="7"/>
      <c r="G71" s="7"/>
      <c r="H71" s="7"/>
      <c r="I71" s="7"/>
      <c r="J71" s="7"/>
    </row>
    <row r="72" spans="1:11">
      <c r="A72" s="7"/>
      <c r="B72" s="7"/>
      <c r="C72" s="7"/>
      <c r="D72" s="7"/>
      <c r="E72" s="7"/>
      <c r="F72" s="7"/>
      <c r="G72" s="7"/>
      <c r="H72" s="7"/>
      <c r="I72" s="7"/>
      <c r="J72" s="7"/>
    </row>
    <row r="73" spans="1:11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1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1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1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1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1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1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1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>
      <c r="A84" s="3"/>
      <c r="B84" s="3"/>
      <c r="C84" s="3"/>
      <c r="D84" s="3"/>
      <c r="E84" s="3"/>
      <c r="F84" s="3"/>
      <c r="G84" s="3"/>
      <c r="H84" s="3"/>
      <c r="I84" s="3"/>
      <c r="J84" s="3"/>
    </row>
  </sheetData>
  <mergeCells count="122">
    <mergeCell ref="E7:H7"/>
    <mergeCell ref="D24:E24"/>
    <mergeCell ref="F24:G24"/>
    <mergeCell ref="H24:J24"/>
    <mergeCell ref="D25:E25"/>
    <mergeCell ref="H31:J31"/>
    <mergeCell ref="F25:G25"/>
    <mergeCell ref="H25:J25"/>
    <mergeCell ref="F27:G27"/>
    <mergeCell ref="H27:J27"/>
    <mergeCell ref="D10:E10"/>
    <mergeCell ref="F10:G10"/>
    <mergeCell ref="D11:E11"/>
    <mergeCell ref="F11:G11"/>
    <mergeCell ref="H10:J10"/>
    <mergeCell ref="H11:J11"/>
    <mergeCell ref="F23:G23"/>
    <mergeCell ref="H23:J23"/>
    <mergeCell ref="F20:G20"/>
    <mergeCell ref="H20:J20"/>
    <mergeCell ref="H15:J15"/>
    <mergeCell ref="D12:E12"/>
    <mergeCell ref="F12:G12"/>
    <mergeCell ref="D14:E14"/>
    <mergeCell ref="H12:J12"/>
    <mergeCell ref="F14:G14"/>
    <mergeCell ref="H14:J14"/>
    <mergeCell ref="D13:E13"/>
    <mergeCell ref="F13:G13"/>
    <mergeCell ref="H13:J13"/>
    <mergeCell ref="F32:G32"/>
    <mergeCell ref="H32:J32"/>
    <mergeCell ref="D16:E16"/>
    <mergeCell ref="F16:G16"/>
    <mergeCell ref="H16:J16"/>
    <mergeCell ref="H22:J22"/>
    <mergeCell ref="D15:E15"/>
    <mergeCell ref="H21:J21"/>
    <mergeCell ref="D20:E20"/>
    <mergeCell ref="F15:G15"/>
    <mergeCell ref="D17:E17"/>
    <mergeCell ref="F17:G17"/>
    <mergeCell ref="H17:J17"/>
    <mergeCell ref="D18:E18"/>
    <mergeCell ref="D19:E19"/>
    <mergeCell ref="F19:G19"/>
    <mergeCell ref="H19:J19"/>
    <mergeCell ref="H30:J30"/>
    <mergeCell ref="H18:J18"/>
    <mergeCell ref="F18:G18"/>
    <mergeCell ref="E59:H59"/>
    <mergeCell ref="E61:F61"/>
    <mergeCell ref="G61:H61"/>
    <mergeCell ref="C51:D51"/>
    <mergeCell ref="E51:F51"/>
    <mergeCell ref="E52:F52"/>
    <mergeCell ref="D28:E28"/>
    <mergeCell ref="F57:G57"/>
    <mergeCell ref="F28:G28"/>
    <mergeCell ref="H28:J28"/>
    <mergeCell ref="D33:E33"/>
    <mergeCell ref="H33:J33"/>
    <mergeCell ref="C56:E56"/>
    <mergeCell ref="C54:E54"/>
    <mergeCell ref="D31:E31"/>
    <mergeCell ref="F31:G31"/>
    <mergeCell ref="H37:I37"/>
    <mergeCell ref="H35:I35"/>
    <mergeCell ref="F56:G56"/>
    <mergeCell ref="D21:E21"/>
    <mergeCell ref="F21:G21"/>
    <mergeCell ref="C47:D47"/>
    <mergeCell ref="F55:G55"/>
    <mergeCell ref="D27:E27"/>
    <mergeCell ref="D23:E23"/>
    <mergeCell ref="F34:G34"/>
    <mergeCell ref="F33:G33"/>
    <mergeCell ref="F54:G54"/>
    <mergeCell ref="E50:F50"/>
    <mergeCell ref="C50:D50"/>
    <mergeCell ref="F41:G41"/>
    <mergeCell ref="E47:F47"/>
    <mergeCell ref="D37:E37"/>
    <mergeCell ref="F37:G37"/>
    <mergeCell ref="D38:E38"/>
    <mergeCell ref="D40:E40"/>
    <mergeCell ref="F40:G40"/>
    <mergeCell ref="C55:E55"/>
    <mergeCell ref="D39:E39"/>
    <mergeCell ref="F39:G39"/>
    <mergeCell ref="E48:F48"/>
    <mergeCell ref="E49:F49"/>
    <mergeCell ref="C49:D49"/>
    <mergeCell ref="C48:D48"/>
    <mergeCell ref="H40:J40"/>
    <mergeCell ref="E46:F46"/>
    <mergeCell ref="C46:D46"/>
    <mergeCell ref="F42:G42"/>
    <mergeCell ref="D41:E41"/>
    <mergeCell ref="F35:G35"/>
    <mergeCell ref="D36:E36"/>
    <mergeCell ref="F36:G36"/>
    <mergeCell ref="F38:G38"/>
    <mergeCell ref="H41:I41"/>
    <mergeCell ref="D44:E44"/>
    <mergeCell ref="H26:J26"/>
    <mergeCell ref="D22:E22"/>
    <mergeCell ref="F22:G22"/>
    <mergeCell ref="D30:E30"/>
    <mergeCell ref="F30:G30"/>
    <mergeCell ref="D35:E35"/>
    <mergeCell ref="D26:E26"/>
    <mergeCell ref="H39:I39"/>
    <mergeCell ref="F26:G26"/>
    <mergeCell ref="H36:I36"/>
    <mergeCell ref="D32:E32"/>
    <mergeCell ref="H29:J29"/>
    <mergeCell ref="D29:E29"/>
    <mergeCell ref="F29:G29"/>
    <mergeCell ref="D34:E34"/>
    <mergeCell ref="H34:I34"/>
    <mergeCell ref="H38:I38"/>
  </mergeCells>
  <phoneticPr fontId="0" type="noConversion"/>
  <pageMargins left="0.59055118110236227" right="0.75" top="1" bottom="1" header="0" footer="0"/>
  <pageSetup paperSize="9" scale="72" orientation="portrait" horizontalDpi="4294967293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79"/>
  <sheetViews>
    <sheetView topLeftCell="A22" zoomScaleNormal="100" workbookViewId="0">
      <selection activeCell="G48" sqref="G48"/>
    </sheetView>
  </sheetViews>
  <sheetFormatPr defaultColWidth="9.140625" defaultRowHeight="12.75"/>
  <cols>
    <col min="1" max="2" width="4.28515625" customWidth="1"/>
    <col min="3" max="10" width="12.42578125" customWidth="1"/>
    <col min="11" max="256" width="11.42578125" customWidth="1"/>
  </cols>
  <sheetData>
    <row r="1" spans="1:11">
      <c r="A1" s="3"/>
      <c r="B1" s="3"/>
      <c r="C1" s="4"/>
      <c r="D1" s="4"/>
      <c r="E1" s="4"/>
      <c r="F1" s="4"/>
      <c r="G1" s="4"/>
      <c r="H1" s="4"/>
      <c r="I1" s="4"/>
      <c r="J1" s="4"/>
      <c r="K1" s="3"/>
    </row>
    <row r="2" spans="1:11">
      <c r="A2" s="5"/>
      <c r="B2" s="5"/>
      <c r="C2" s="3"/>
      <c r="D2" s="3"/>
      <c r="E2" s="3"/>
      <c r="F2" s="3"/>
      <c r="G2" s="3"/>
      <c r="H2" s="3"/>
      <c r="I2" s="3"/>
      <c r="J2" s="3"/>
      <c r="K2" s="3"/>
    </row>
    <row r="3" spans="1:11">
      <c r="A3" s="5"/>
      <c r="B3" s="5"/>
      <c r="C3" s="3"/>
      <c r="D3" s="3"/>
      <c r="E3" s="3"/>
      <c r="F3" s="3"/>
      <c r="G3" s="3"/>
      <c r="H3" s="3"/>
      <c r="I3" s="3"/>
      <c r="J3" s="3"/>
      <c r="K3" s="3"/>
    </row>
    <row r="4" spans="1:11">
      <c r="A4" s="6"/>
      <c r="B4" s="6"/>
      <c r="C4" s="3"/>
      <c r="D4" s="3"/>
      <c r="E4" s="3"/>
      <c r="F4" s="3"/>
      <c r="G4" s="3"/>
      <c r="H4" s="3"/>
      <c r="I4" s="3"/>
      <c r="J4" s="3"/>
      <c r="K4" s="3"/>
    </row>
    <row r="5" spans="1:11">
      <c r="A5" s="5"/>
      <c r="B5" s="5"/>
      <c r="C5" s="3"/>
      <c r="D5" s="3"/>
      <c r="E5" s="3"/>
      <c r="F5" s="3"/>
      <c r="G5" s="3"/>
      <c r="H5" s="3"/>
      <c r="I5" s="3"/>
      <c r="J5" s="3"/>
      <c r="K5" s="3"/>
    </row>
    <row r="6" spans="1:11">
      <c r="A6" s="6"/>
      <c r="B6" s="6"/>
      <c r="C6" s="3"/>
      <c r="D6" s="3"/>
      <c r="E6" s="3"/>
      <c r="F6" s="3"/>
      <c r="G6" s="3"/>
      <c r="H6" s="3"/>
      <c r="I6" s="3"/>
      <c r="J6" s="3"/>
      <c r="K6" s="3"/>
    </row>
    <row r="7" spans="1:11">
      <c r="A7" s="6"/>
      <c r="B7" s="6"/>
      <c r="C7" s="3"/>
      <c r="D7" s="3"/>
      <c r="E7" s="284" t="s">
        <v>1</v>
      </c>
      <c r="F7" s="284"/>
      <c r="G7" s="284"/>
      <c r="H7" s="284"/>
      <c r="I7" s="237" t="s">
        <v>46</v>
      </c>
      <c r="J7" s="226">
        <f>CARÁTULA!$F$16</f>
        <v>2021</v>
      </c>
      <c r="K7" s="3"/>
    </row>
    <row r="8" spans="1:11">
      <c r="A8" s="6"/>
      <c r="B8" s="6"/>
      <c r="C8" s="3"/>
      <c r="D8" s="3"/>
      <c r="E8" s="3"/>
      <c r="F8" s="3"/>
      <c r="G8" s="3"/>
      <c r="H8" s="3"/>
      <c r="I8" s="3"/>
      <c r="J8" s="3"/>
      <c r="K8" s="3"/>
    </row>
    <row r="9" spans="1:11">
      <c r="A9" s="7"/>
      <c r="B9" s="7"/>
      <c r="C9" s="8"/>
      <c r="D9" s="8"/>
      <c r="E9" s="7"/>
      <c r="F9" s="8"/>
      <c r="G9" s="8"/>
      <c r="H9" s="8"/>
      <c r="I9" s="7"/>
      <c r="J9" s="7"/>
      <c r="K9" s="3"/>
    </row>
    <row r="10" spans="1:11">
      <c r="A10" s="9"/>
      <c r="B10" s="241" t="s">
        <v>3</v>
      </c>
      <c r="C10" s="241" t="s">
        <v>4</v>
      </c>
      <c r="D10" s="267" t="s">
        <v>5</v>
      </c>
      <c r="E10" s="267"/>
      <c r="F10" s="267" t="s">
        <v>6</v>
      </c>
      <c r="G10" s="267"/>
      <c r="H10" s="267" t="s">
        <v>7</v>
      </c>
      <c r="I10" s="267"/>
      <c r="J10" s="267"/>
      <c r="K10" s="3"/>
    </row>
    <row r="11" spans="1:11">
      <c r="A11" s="9"/>
      <c r="B11" s="9">
        <v>117</v>
      </c>
      <c r="C11" s="42">
        <v>44348</v>
      </c>
      <c r="D11" s="334" t="s">
        <v>8</v>
      </c>
      <c r="E11" s="334"/>
      <c r="F11" s="269">
        <v>26880</v>
      </c>
      <c r="G11" s="269"/>
      <c r="H11" s="266" t="s">
        <v>42</v>
      </c>
      <c r="I11" s="266"/>
      <c r="J11" s="266"/>
      <c r="K11" s="3"/>
    </row>
    <row r="12" spans="1:11">
      <c r="A12" s="9"/>
      <c r="B12" s="9">
        <v>119</v>
      </c>
      <c r="C12" s="42">
        <v>44355</v>
      </c>
      <c r="D12" s="335" t="s">
        <v>8</v>
      </c>
      <c r="E12" s="335"/>
      <c r="F12" s="269">
        <v>21390</v>
      </c>
      <c r="G12" s="269"/>
      <c r="H12" s="266" t="s">
        <v>42</v>
      </c>
      <c r="I12" s="266"/>
      <c r="J12" s="266"/>
      <c r="K12" s="3"/>
    </row>
    <row r="13" spans="1:11">
      <c r="A13" s="9"/>
      <c r="B13" s="9">
        <v>120</v>
      </c>
      <c r="C13" s="42">
        <v>44360</v>
      </c>
      <c r="D13" s="335" t="s">
        <v>8</v>
      </c>
      <c r="E13" s="335"/>
      <c r="F13" s="269">
        <v>19080</v>
      </c>
      <c r="G13" s="269"/>
      <c r="H13" s="266" t="s">
        <v>42</v>
      </c>
      <c r="I13" s="266"/>
      <c r="J13" s="266"/>
      <c r="K13" s="3"/>
    </row>
    <row r="14" spans="1:11">
      <c r="A14" s="9"/>
      <c r="B14" s="9">
        <v>121</v>
      </c>
      <c r="C14" s="42">
        <v>44366</v>
      </c>
      <c r="D14" s="335" t="s">
        <v>8</v>
      </c>
      <c r="E14" s="335"/>
      <c r="F14" s="269">
        <v>45000</v>
      </c>
      <c r="G14" s="269"/>
      <c r="H14" s="266" t="s">
        <v>42</v>
      </c>
      <c r="I14" s="266"/>
      <c r="J14" s="266"/>
      <c r="K14" s="3"/>
    </row>
    <row r="15" spans="1:11">
      <c r="A15" s="9"/>
      <c r="B15" s="9">
        <v>122</v>
      </c>
      <c r="C15" s="42">
        <v>44373</v>
      </c>
      <c r="D15" s="335" t="s">
        <v>8</v>
      </c>
      <c r="E15" s="335"/>
      <c r="F15" s="269">
        <v>36480</v>
      </c>
      <c r="G15" s="269"/>
      <c r="H15" s="266" t="s">
        <v>42</v>
      </c>
      <c r="I15" s="266"/>
      <c r="J15" s="266"/>
      <c r="K15" s="3"/>
    </row>
    <row r="16" spans="1:11">
      <c r="A16" s="9"/>
      <c r="B16" s="9">
        <v>123</v>
      </c>
      <c r="C16" s="42">
        <v>44377</v>
      </c>
      <c r="D16" s="335" t="s">
        <v>8</v>
      </c>
      <c r="E16" s="335"/>
      <c r="F16" s="269">
        <v>40980</v>
      </c>
      <c r="G16" s="269"/>
      <c r="H16" s="266" t="s">
        <v>42</v>
      </c>
      <c r="I16" s="266"/>
      <c r="J16" s="266"/>
      <c r="K16" s="3"/>
    </row>
    <row r="17" spans="1:11">
      <c r="A17" s="9"/>
      <c r="B17" s="9"/>
      <c r="C17" s="42"/>
      <c r="D17" s="335"/>
      <c r="E17" s="335"/>
      <c r="F17" s="269"/>
      <c r="G17" s="269"/>
      <c r="H17" s="266"/>
      <c r="I17" s="266"/>
      <c r="J17" s="266"/>
      <c r="K17" s="3"/>
    </row>
    <row r="18" spans="1:11">
      <c r="A18" s="9"/>
      <c r="B18" s="9"/>
      <c r="C18" s="42"/>
      <c r="D18" s="335"/>
      <c r="E18" s="335"/>
      <c r="F18" s="269"/>
      <c r="G18" s="269"/>
      <c r="H18" s="266"/>
      <c r="I18" s="266"/>
      <c r="J18" s="266"/>
      <c r="K18" s="3"/>
    </row>
    <row r="19" spans="1:11">
      <c r="A19" s="9"/>
      <c r="B19" s="9"/>
      <c r="C19" s="42"/>
      <c r="D19" s="335"/>
      <c r="E19" s="335"/>
      <c r="F19" s="269"/>
      <c r="G19" s="269"/>
      <c r="H19" s="266"/>
      <c r="I19" s="266"/>
      <c r="J19" s="266"/>
      <c r="K19" s="3"/>
    </row>
    <row r="20" spans="1:11">
      <c r="A20" s="9"/>
      <c r="B20" s="9"/>
      <c r="C20" s="42"/>
      <c r="D20" s="335"/>
      <c r="E20" s="335"/>
      <c r="F20" s="269"/>
      <c r="G20" s="269"/>
      <c r="H20" s="266"/>
      <c r="I20" s="266"/>
      <c r="J20" s="266"/>
      <c r="K20" s="3"/>
    </row>
    <row r="21" spans="1:11">
      <c r="A21" s="9"/>
      <c r="B21" s="9"/>
      <c r="C21" s="42"/>
      <c r="D21" s="335"/>
      <c r="E21" s="335"/>
      <c r="F21" s="269"/>
      <c r="G21" s="269"/>
      <c r="H21" s="266"/>
      <c r="I21" s="266"/>
      <c r="J21" s="266"/>
      <c r="K21" s="3"/>
    </row>
    <row r="22" spans="1:11">
      <c r="A22" s="9"/>
      <c r="B22" s="9"/>
      <c r="C22" s="42"/>
      <c r="D22" s="335"/>
      <c r="E22" s="335"/>
      <c r="F22" s="269"/>
      <c r="G22" s="269"/>
      <c r="H22" s="266"/>
      <c r="I22" s="266"/>
      <c r="J22" s="266"/>
      <c r="K22" s="3"/>
    </row>
    <row r="23" spans="1:11">
      <c r="A23" s="9"/>
      <c r="B23" s="9"/>
      <c r="C23" s="42"/>
      <c r="D23" s="335"/>
      <c r="E23" s="335"/>
      <c r="F23" s="269"/>
      <c r="G23" s="269"/>
      <c r="H23" s="266"/>
      <c r="I23" s="266"/>
      <c r="J23" s="266"/>
      <c r="K23" s="3"/>
    </row>
    <row r="24" spans="1:11">
      <c r="A24" s="9"/>
      <c r="B24" s="9"/>
      <c r="C24" s="42"/>
      <c r="D24" s="335"/>
      <c r="E24" s="335"/>
      <c r="F24" s="269"/>
      <c r="G24" s="269"/>
      <c r="H24" s="266"/>
      <c r="I24" s="266"/>
      <c r="J24" s="266"/>
      <c r="K24" s="3"/>
    </row>
    <row r="25" spans="1:11">
      <c r="A25" s="9"/>
      <c r="B25" s="9"/>
      <c r="C25" s="42"/>
      <c r="D25" s="266"/>
      <c r="E25" s="266"/>
      <c r="F25" s="269"/>
      <c r="G25" s="269"/>
      <c r="H25" s="266"/>
      <c r="I25" s="266"/>
      <c r="J25" s="266"/>
      <c r="K25" s="3"/>
    </row>
    <row r="26" spans="1:11">
      <c r="A26" s="9"/>
      <c r="B26" s="9"/>
      <c r="C26" s="42"/>
      <c r="D26" s="266"/>
      <c r="E26" s="266"/>
      <c r="F26" s="269"/>
      <c r="G26" s="269"/>
      <c r="H26" s="266"/>
      <c r="I26" s="266"/>
      <c r="J26" s="266"/>
      <c r="K26" s="3"/>
    </row>
    <row r="27" spans="1:11">
      <c r="A27" s="9"/>
      <c r="B27" s="9"/>
      <c r="C27" s="42"/>
      <c r="D27" s="266"/>
      <c r="E27" s="266"/>
      <c r="F27" s="269"/>
      <c r="G27" s="269"/>
      <c r="H27" s="266"/>
      <c r="I27" s="266"/>
      <c r="J27" s="266"/>
      <c r="K27" s="3"/>
    </row>
    <row r="28" spans="1:11">
      <c r="A28" s="9"/>
      <c r="B28" s="9"/>
      <c r="C28" s="42"/>
      <c r="D28" s="266"/>
      <c r="E28" s="266"/>
      <c r="F28" s="269"/>
      <c r="G28" s="269"/>
      <c r="H28" s="266"/>
      <c r="I28" s="266"/>
      <c r="J28" s="266"/>
      <c r="K28" s="3"/>
    </row>
    <row r="29" spans="1:11">
      <c r="A29" s="9"/>
      <c r="B29" s="9"/>
      <c r="C29" s="42"/>
      <c r="D29" s="266"/>
      <c r="E29" s="266"/>
      <c r="F29" s="269"/>
      <c r="G29" s="269"/>
      <c r="H29" s="266"/>
      <c r="I29" s="266"/>
      <c r="J29" s="266"/>
      <c r="K29" s="3"/>
    </row>
    <row r="30" spans="1:11">
      <c r="A30" s="9"/>
      <c r="B30" s="9"/>
      <c r="C30" s="42"/>
      <c r="D30" s="335"/>
      <c r="E30" s="335"/>
      <c r="F30" s="269"/>
      <c r="G30" s="269"/>
      <c r="H30" s="266"/>
      <c r="I30" s="266"/>
      <c r="J30" s="266"/>
      <c r="K30" s="3"/>
    </row>
    <row r="31" spans="1:11">
      <c r="A31" s="9"/>
      <c r="B31" s="9"/>
      <c r="C31" s="11"/>
      <c r="D31" s="10"/>
      <c r="E31" s="10"/>
      <c r="F31" s="280">
        <f>SUM(F11:G30)</f>
        <v>189810</v>
      </c>
      <c r="G31" s="281"/>
      <c r="H31" s="18"/>
      <c r="I31" s="18"/>
      <c r="J31" s="18"/>
      <c r="K31" s="3"/>
    </row>
    <row r="32" spans="1:11">
      <c r="A32" s="9"/>
      <c r="B32" s="9"/>
      <c r="C32" s="7"/>
      <c r="D32" s="7"/>
      <c r="E32" s="13"/>
      <c r="F32" s="7"/>
      <c r="G32" s="7"/>
      <c r="H32" s="7"/>
      <c r="I32" s="7"/>
      <c r="J32" s="7"/>
      <c r="K32" s="3"/>
    </row>
    <row r="33" spans="1:11">
      <c r="A33" s="9"/>
      <c r="B33" s="9"/>
      <c r="C33" s="7"/>
      <c r="D33" s="282" t="s">
        <v>15</v>
      </c>
      <c r="E33" s="282"/>
      <c r="F33" s="7"/>
      <c r="G33" s="41">
        <f>F31/1000</f>
        <v>189.81</v>
      </c>
      <c r="H33" s="7"/>
      <c r="I33" s="12"/>
      <c r="J33" s="7"/>
      <c r="K33" s="3"/>
    </row>
    <row r="34" spans="1:11">
      <c r="A34" s="9"/>
      <c r="B34" s="9"/>
      <c r="C34" s="7"/>
      <c r="D34" s="7"/>
      <c r="E34" s="13"/>
      <c r="F34" s="7"/>
      <c r="G34" s="7"/>
      <c r="H34" s="7"/>
      <c r="I34" s="7"/>
      <c r="J34" s="7"/>
      <c r="K34" s="3"/>
    </row>
    <row r="35" spans="1:11">
      <c r="A35" s="9"/>
      <c r="B35" s="9"/>
      <c r="C35" s="7"/>
      <c r="D35" s="7"/>
      <c r="E35" s="7"/>
      <c r="F35" s="7"/>
      <c r="G35" s="7"/>
      <c r="H35" s="7"/>
      <c r="I35" s="7"/>
      <c r="J35" s="7"/>
      <c r="K35" s="3"/>
    </row>
    <row r="36" spans="1:11">
      <c r="A36" s="9"/>
      <c r="B36" s="9"/>
      <c r="C36" s="267" t="s">
        <v>16</v>
      </c>
      <c r="D36" s="267"/>
      <c r="E36" s="267" t="s">
        <v>17</v>
      </c>
      <c r="F36" s="267"/>
      <c r="G36" s="241" t="s">
        <v>18</v>
      </c>
      <c r="H36" s="241" t="s">
        <v>19</v>
      </c>
      <c r="I36" s="7"/>
      <c r="J36" s="7"/>
      <c r="K36" s="3"/>
    </row>
    <row r="37" spans="1:11">
      <c r="A37" s="9"/>
      <c r="B37" s="9"/>
      <c r="C37" s="279" t="s">
        <v>20</v>
      </c>
      <c r="D37" s="279"/>
      <c r="E37" s="269">
        <v>0</v>
      </c>
      <c r="F37" s="269"/>
      <c r="G37" s="43">
        <f>+E37/E42</f>
        <v>0</v>
      </c>
      <c r="H37" s="45">
        <v>0</v>
      </c>
      <c r="I37" s="7"/>
      <c r="J37" s="7"/>
      <c r="K37" s="3"/>
    </row>
    <row r="38" spans="1:11">
      <c r="A38" s="9"/>
      <c r="B38" s="9"/>
      <c r="C38" s="266" t="s">
        <v>21</v>
      </c>
      <c r="D38" s="266"/>
      <c r="E38" s="269">
        <v>0</v>
      </c>
      <c r="F38" s="269"/>
      <c r="G38" s="43">
        <f>+E38/E42</f>
        <v>0</v>
      </c>
      <c r="H38" s="45">
        <v>0</v>
      </c>
      <c r="I38" s="7"/>
      <c r="J38" s="7"/>
      <c r="K38" s="3"/>
    </row>
    <row r="39" spans="1:11">
      <c r="A39" s="9"/>
      <c r="B39" s="9"/>
      <c r="C39" s="266" t="s">
        <v>22</v>
      </c>
      <c r="D39" s="266"/>
      <c r="E39" s="269">
        <f>+F11+F12+F13+F14+F15+F16</f>
        <v>189810</v>
      </c>
      <c r="F39" s="269"/>
      <c r="G39" s="43">
        <f>+E39/E42</f>
        <v>1</v>
      </c>
      <c r="H39" s="45">
        <v>6</v>
      </c>
      <c r="I39" s="7"/>
      <c r="J39" s="7"/>
      <c r="K39" s="3"/>
    </row>
    <row r="40" spans="1:11">
      <c r="A40" s="9"/>
      <c r="B40" s="9"/>
      <c r="C40" s="266" t="s">
        <v>23</v>
      </c>
      <c r="D40" s="266"/>
      <c r="E40" s="269">
        <v>0</v>
      </c>
      <c r="F40" s="269"/>
      <c r="G40" s="43">
        <f>+E40/E42</f>
        <v>0</v>
      </c>
      <c r="H40" s="45">
        <v>0</v>
      </c>
      <c r="I40" s="7"/>
      <c r="J40" s="7"/>
      <c r="K40" s="3"/>
    </row>
    <row r="41" spans="1:11">
      <c r="A41" s="9"/>
      <c r="B41" s="9"/>
      <c r="C41" s="266"/>
      <c r="D41" s="266"/>
      <c r="E41" s="269">
        <v>0</v>
      </c>
      <c r="F41" s="269"/>
      <c r="G41" s="43">
        <f>+E41/E42</f>
        <v>0</v>
      </c>
      <c r="H41" s="45">
        <v>0</v>
      </c>
      <c r="I41" s="7"/>
      <c r="J41" s="7"/>
      <c r="K41" s="3"/>
    </row>
    <row r="42" spans="1:11">
      <c r="A42" s="9"/>
      <c r="B42" s="9"/>
      <c r="C42" s="14"/>
      <c r="D42" s="238" t="s">
        <v>24</v>
      </c>
      <c r="E42" s="337">
        <f>SUM(E37:F41)</f>
        <v>189810</v>
      </c>
      <c r="F42" s="337"/>
      <c r="G42" s="44">
        <f>SUM(G37:G41)</f>
        <v>1</v>
      </c>
      <c r="H42" s="46">
        <f>SUM(H37:H41)</f>
        <v>6</v>
      </c>
      <c r="I42" s="7"/>
      <c r="J42" s="7"/>
      <c r="K42" s="3"/>
    </row>
    <row r="43" spans="1:11">
      <c r="A43" s="9"/>
      <c r="B43" s="9"/>
      <c r="C43" s="15"/>
      <c r="D43" s="15"/>
      <c r="E43" s="10"/>
      <c r="F43" s="10"/>
      <c r="G43" s="10"/>
      <c r="H43" s="7"/>
      <c r="I43" s="7"/>
      <c r="J43" s="7"/>
      <c r="K43" s="3"/>
    </row>
    <row r="44" spans="1:11">
      <c r="A44" s="9"/>
      <c r="B44" s="9"/>
      <c r="C44" s="7"/>
      <c r="D44" s="7"/>
      <c r="E44" s="12"/>
      <c r="F44" s="16"/>
      <c r="G44" s="17"/>
      <c r="H44" s="7"/>
      <c r="I44" s="7"/>
      <c r="J44" s="7"/>
      <c r="K44" s="3"/>
    </row>
    <row r="45" spans="1:11">
      <c r="A45" s="9"/>
      <c r="B45" s="9"/>
      <c r="C45" s="40"/>
      <c r="D45" s="7"/>
      <c r="E45" s="12"/>
      <c r="F45" s="16"/>
      <c r="G45" s="17"/>
      <c r="H45" s="7"/>
      <c r="I45" s="7"/>
      <c r="J45" s="7"/>
      <c r="K45" s="3"/>
    </row>
    <row r="46" spans="1:11">
      <c r="A46" s="9"/>
      <c r="B46" s="9"/>
      <c r="C46" s="270" t="s">
        <v>7</v>
      </c>
      <c r="D46" s="271"/>
      <c r="E46" s="272"/>
      <c r="F46" s="273" t="s">
        <v>6</v>
      </c>
      <c r="G46" s="267"/>
      <c r="H46" s="241" t="s">
        <v>18</v>
      </c>
      <c r="I46" s="7"/>
      <c r="J46" s="7"/>
      <c r="K46" s="3"/>
    </row>
    <row r="47" spans="1:11">
      <c r="A47" s="9"/>
      <c r="B47" s="9"/>
      <c r="C47" s="266" t="s">
        <v>25</v>
      </c>
      <c r="D47" s="266"/>
      <c r="E47" s="266"/>
      <c r="F47" s="236"/>
      <c r="G47" s="236">
        <v>0</v>
      </c>
      <c r="H47" s="43">
        <f>+G47/F49</f>
        <v>0</v>
      </c>
      <c r="I47" s="7"/>
      <c r="J47" s="7"/>
      <c r="K47" s="3"/>
    </row>
    <row r="48" spans="1:11">
      <c r="A48" s="9"/>
      <c r="B48" s="9"/>
      <c r="C48" s="266" t="s">
        <v>26</v>
      </c>
      <c r="D48" s="266"/>
      <c r="E48" s="266"/>
      <c r="F48" s="236"/>
      <c r="G48" s="236">
        <f>F31</f>
        <v>189810</v>
      </c>
      <c r="H48" s="43">
        <f>+G48/F49</f>
        <v>1</v>
      </c>
      <c r="I48" s="7"/>
      <c r="J48" s="12"/>
      <c r="K48" s="3"/>
    </row>
    <row r="49" spans="1:11">
      <c r="A49" s="9"/>
      <c r="B49" s="9"/>
      <c r="C49" s="7"/>
      <c r="D49" s="7" t="s">
        <v>24</v>
      </c>
      <c r="E49" s="7"/>
      <c r="F49" s="277">
        <f>SUM(F47:G48)</f>
        <v>189810</v>
      </c>
      <c r="G49" s="277"/>
      <c r="H49" s="44">
        <f>SUM(H47:H48)</f>
        <v>1</v>
      </c>
      <c r="I49" s="7"/>
      <c r="J49" s="7"/>
      <c r="K49" s="3"/>
    </row>
    <row r="50" spans="1:11">
      <c r="A50" s="9"/>
      <c r="B50" s="9"/>
      <c r="C50" s="7"/>
      <c r="D50" s="7"/>
      <c r="E50" s="7"/>
      <c r="F50" s="47"/>
      <c r="G50" s="47"/>
      <c r="H50" s="49"/>
      <c r="I50" s="7"/>
      <c r="J50" s="7"/>
      <c r="K50" s="3"/>
    </row>
    <row r="51" spans="1:11">
      <c r="A51" s="9"/>
      <c r="B51" s="9"/>
      <c r="C51" s="7"/>
      <c r="D51" s="7"/>
      <c r="E51" s="7"/>
      <c r="F51" s="47"/>
      <c r="G51" s="47"/>
      <c r="H51" s="49"/>
      <c r="I51" s="7"/>
      <c r="J51" s="7"/>
      <c r="K51" s="3"/>
    </row>
    <row r="52" spans="1:11">
      <c r="A52" s="9"/>
      <c r="B52" s="9"/>
      <c r="C52" s="7"/>
      <c r="D52" s="36"/>
      <c r="E52" s="37"/>
      <c r="F52" s="3"/>
      <c r="G52" s="3"/>
      <c r="H52" s="7"/>
      <c r="I52" s="7"/>
      <c r="J52" s="7"/>
      <c r="K52" s="3"/>
    </row>
    <row r="53" spans="1:11">
      <c r="A53" s="9"/>
      <c r="B53" s="9"/>
      <c r="C53" s="7"/>
      <c r="D53" s="3"/>
      <c r="E53" s="278" t="s">
        <v>27</v>
      </c>
      <c r="F53" s="278"/>
      <c r="G53" s="278"/>
      <c r="H53" s="278"/>
      <c r="I53" s="7"/>
      <c r="J53" s="7"/>
      <c r="K53" s="3"/>
    </row>
    <row r="54" spans="1:11">
      <c r="A54" s="9"/>
      <c r="B54" s="9"/>
      <c r="C54" s="7"/>
      <c r="D54" s="56"/>
      <c r="E54" s="7"/>
      <c r="F54" s="7"/>
      <c r="G54" s="7"/>
      <c r="H54" s="7"/>
      <c r="I54" s="7"/>
      <c r="J54" s="7"/>
      <c r="K54" s="3"/>
    </row>
    <row r="55" spans="1:11">
      <c r="A55" s="7"/>
      <c r="B55" s="7"/>
      <c r="C55" s="7"/>
      <c r="D55" s="55" t="s">
        <v>28</v>
      </c>
      <c r="E55" s="275">
        <v>2020</v>
      </c>
      <c r="F55" s="276"/>
      <c r="G55" s="275">
        <v>2021</v>
      </c>
      <c r="H55" s="276"/>
      <c r="I55" s="7"/>
      <c r="J55" s="7"/>
      <c r="K55" s="3"/>
    </row>
    <row r="56" spans="1:11">
      <c r="A56" s="7"/>
      <c r="B56" s="7"/>
      <c r="C56" s="7"/>
      <c r="D56" s="54" t="s">
        <v>29</v>
      </c>
      <c r="E56" s="51" t="s">
        <v>30</v>
      </c>
      <c r="F56" s="51" t="s">
        <v>31</v>
      </c>
      <c r="G56" s="51" t="s">
        <v>30</v>
      </c>
      <c r="H56" s="51" t="s">
        <v>31</v>
      </c>
      <c r="I56" s="7"/>
      <c r="J56" s="7"/>
      <c r="K56" s="3"/>
    </row>
    <row r="57" spans="1:11">
      <c r="A57" s="7"/>
      <c r="B57" s="7"/>
      <c r="C57" s="7"/>
      <c r="D57" s="52"/>
      <c r="E57" s="28"/>
      <c r="F57" s="96"/>
      <c r="G57" s="28"/>
      <c r="H57" s="29"/>
      <c r="I57" s="7"/>
      <c r="J57" s="7"/>
      <c r="K57" s="3"/>
    </row>
    <row r="58" spans="1:11">
      <c r="A58" s="7"/>
      <c r="B58" s="7"/>
      <c r="C58" s="7"/>
      <c r="D58" s="83" t="s">
        <v>32</v>
      </c>
      <c r="E58" s="84">
        <f>'MAY 2021'!E64</f>
        <v>417.84</v>
      </c>
      <c r="F58" s="177">
        <v>15</v>
      </c>
      <c r="G58" s="84">
        <f>'ENE 2021'!G46</f>
        <v>1008.93</v>
      </c>
      <c r="H58" s="85">
        <f>'ENE 2021'!H55</f>
        <v>32</v>
      </c>
      <c r="I58" s="7"/>
      <c r="J58" s="7"/>
      <c r="K58" s="3"/>
    </row>
    <row r="59" spans="1:11">
      <c r="A59" s="7"/>
      <c r="B59" s="7"/>
      <c r="C59" s="7"/>
      <c r="D59" s="86" t="s">
        <v>38</v>
      </c>
      <c r="E59" s="84">
        <f>'FEB 2021'!$E$73</f>
        <v>591.57000000000005</v>
      </c>
      <c r="F59" s="178">
        <v>22</v>
      </c>
      <c r="G59" s="31">
        <f>'FEB 2021'!G48</f>
        <v>719.82</v>
      </c>
      <c r="H59" s="32">
        <f>'FEB 2021'!H57</f>
        <v>25</v>
      </c>
      <c r="I59" s="7"/>
      <c r="J59" s="7"/>
      <c r="K59" s="3"/>
    </row>
    <row r="60" spans="1:11">
      <c r="A60" s="7"/>
      <c r="B60" s="7"/>
      <c r="C60" s="7"/>
      <c r="D60" s="88" t="s">
        <v>40</v>
      </c>
      <c r="E60" s="84">
        <f>'MAR 2021'!$E$66</f>
        <v>408.24</v>
      </c>
      <c r="F60" s="178">
        <v>13</v>
      </c>
      <c r="G60" s="31">
        <f>'MAR 2021'!G43</f>
        <v>815.73</v>
      </c>
      <c r="H60" s="32">
        <f>'MAR 2021'!H51</f>
        <v>26</v>
      </c>
      <c r="I60" s="7"/>
      <c r="J60" s="7"/>
      <c r="K60" s="3"/>
    </row>
    <row r="61" spans="1:11">
      <c r="A61" s="7"/>
      <c r="B61" s="7"/>
      <c r="C61" s="7"/>
      <c r="D61" s="88" t="s">
        <v>43</v>
      </c>
      <c r="E61" s="84">
        <f>'ABR 2021'!$E$66</f>
        <v>188.13</v>
      </c>
      <c r="F61" s="178">
        <v>6</v>
      </c>
      <c r="G61" s="36">
        <f>'ABR 2021'!G41</f>
        <v>323.73</v>
      </c>
      <c r="H61" s="32">
        <f>'ABR 2021'!H50</f>
        <v>11</v>
      </c>
      <c r="I61" s="7"/>
      <c r="J61" s="7"/>
      <c r="K61" s="3"/>
    </row>
    <row r="62" spans="1:11">
      <c r="A62" s="7"/>
      <c r="B62" s="7"/>
      <c r="C62" s="7"/>
      <c r="D62" s="86" t="s">
        <v>45</v>
      </c>
      <c r="E62" s="84">
        <f>'MAY 2021'!$E$68</f>
        <v>279.93</v>
      </c>
      <c r="F62" s="178">
        <v>8</v>
      </c>
      <c r="G62" s="31">
        <f>'MAY 2021'!G44</f>
        <v>142.35</v>
      </c>
      <c r="H62" s="32">
        <f>'MAY 2021'!H52</f>
        <v>6</v>
      </c>
      <c r="I62" s="7"/>
      <c r="J62" s="7"/>
      <c r="K62" s="3"/>
    </row>
    <row r="63" spans="1:11">
      <c r="A63" s="7"/>
      <c r="B63" s="7"/>
      <c r="C63" s="7"/>
      <c r="D63" s="87" t="s">
        <v>47</v>
      </c>
      <c r="E63" s="34">
        <v>202.08</v>
      </c>
      <c r="F63" s="180">
        <v>7</v>
      </c>
      <c r="G63" s="89">
        <f>G33</f>
        <v>189.81</v>
      </c>
      <c r="H63" s="35">
        <f>H42</f>
        <v>6</v>
      </c>
      <c r="I63" s="7"/>
      <c r="J63" s="7"/>
      <c r="K63" s="3"/>
    </row>
    <row r="64" spans="1:11">
      <c r="A64" s="7"/>
      <c r="B64" s="7"/>
      <c r="C64" s="7"/>
      <c r="D64" s="7"/>
      <c r="E64" s="7"/>
      <c r="F64" s="7"/>
      <c r="G64" s="7"/>
      <c r="H64" s="7"/>
      <c r="I64" s="7"/>
      <c r="J64" s="7"/>
      <c r="K64" s="3"/>
    </row>
    <row r="65" spans="1:11">
      <c r="A65" s="7"/>
      <c r="B65" s="7"/>
      <c r="C65" s="7"/>
      <c r="D65" s="7"/>
      <c r="E65" s="58">
        <f>SUM(E58:E64)</f>
        <v>2087.7900000000004</v>
      </c>
      <c r="F65" s="59">
        <f>SUM(F58:F64)</f>
        <v>71</v>
      </c>
      <c r="G65" s="58">
        <f>SUM(G58:G63)</f>
        <v>3200.37</v>
      </c>
      <c r="H65" s="59">
        <f>SUM(H58:H63)</f>
        <v>106</v>
      </c>
      <c r="I65" s="7"/>
      <c r="J65" s="7"/>
      <c r="K65" s="3"/>
    </row>
    <row r="66" spans="1:11">
      <c r="A66" s="7"/>
      <c r="B66" s="7"/>
      <c r="C66" s="7"/>
      <c r="D66" s="7"/>
      <c r="E66" s="7"/>
      <c r="F66" s="7"/>
      <c r="G66" s="7"/>
      <c r="H66" s="7"/>
      <c r="I66" s="7"/>
      <c r="J66" s="7"/>
    </row>
    <row r="67" spans="1:11">
      <c r="A67" s="7"/>
      <c r="B67" s="7"/>
      <c r="C67" s="7"/>
      <c r="D67" s="7"/>
      <c r="E67" s="7"/>
      <c r="F67" s="7"/>
      <c r="G67" s="7"/>
      <c r="H67" s="12"/>
      <c r="I67" s="7"/>
      <c r="J67" s="7"/>
    </row>
    <row r="68" spans="1:11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1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1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1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1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1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1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1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1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1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1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1">
      <c r="A79" s="3"/>
      <c r="B79" s="3"/>
      <c r="C79" s="3"/>
      <c r="D79" s="3"/>
      <c r="E79" s="3"/>
      <c r="F79" s="3"/>
      <c r="G79" s="3"/>
      <c r="H79" s="3"/>
      <c r="I79" s="3"/>
      <c r="J79" s="3"/>
    </row>
  </sheetData>
  <mergeCells count="87">
    <mergeCell ref="C38:D38"/>
    <mergeCell ref="E37:F37"/>
    <mergeCell ref="D25:E25"/>
    <mergeCell ref="D30:E30"/>
    <mergeCell ref="F30:G30"/>
    <mergeCell ref="F25:G25"/>
    <mergeCell ref="C37:D37"/>
    <mergeCell ref="E7:H7"/>
    <mergeCell ref="D24:E24"/>
    <mergeCell ref="F24:G24"/>
    <mergeCell ref="C36:D36"/>
    <mergeCell ref="E55:F55"/>
    <mergeCell ref="G55:H55"/>
    <mergeCell ref="F18:G18"/>
    <mergeCell ref="H18:J18"/>
    <mergeCell ref="D20:E20"/>
    <mergeCell ref="F20:G20"/>
    <mergeCell ref="H20:J20"/>
    <mergeCell ref="D18:E18"/>
    <mergeCell ref="D19:E19"/>
    <mergeCell ref="F19:G19"/>
    <mergeCell ref="H24:J24"/>
    <mergeCell ref="E38:F38"/>
    <mergeCell ref="F49:G49"/>
    <mergeCell ref="E53:H53"/>
    <mergeCell ref="E40:F40"/>
    <mergeCell ref="E39:F39"/>
    <mergeCell ref="D10:E10"/>
    <mergeCell ref="F10:G10"/>
    <mergeCell ref="D11:E11"/>
    <mergeCell ref="F11:G11"/>
    <mergeCell ref="D12:E12"/>
    <mergeCell ref="F12:G12"/>
    <mergeCell ref="H10:J10"/>
    <mergeCell ref="H11:J11"/>
    <mergeCell ref="H12:J12"/>
    <mergeCell ref="H14:J14"/>
    <mergeCell ref="H13:J13"/>
    <mergeCell ref="H19:J19"/>
    <mergeCell ref="D15:E15"/>
    <mergeCell ref="F15:G15"/>
    <mergeCell ref="H15:J15"/>
    <mergeCell ref="F13:G13"/>
    <mergeCell ref="D14:E14"/>
    <mergeCell ref="F14:G14"/>
    <mergeCell ref="D13:E13"/>
    <mergeCell ref="D17:E17"/>
    <mergeCell ref="F17:G17"/>
    <mergeCell ref="H17:J17"/>
    <mergeCell ref="D16:E16"/>
    <mergeCell ref="F16:G16"/>
    <mergeCell ref="H16:J16"/>
    <mergeCell ref="D21:E21"/>
    <mergeCell ref="F21:G21"/>
    <mergeCell ref="H21:J21"/>
    <mergeCell ref="D23:E23"/>
    <mergeCell ref="F23:G23"/>
    <mergeCell ref="H23:J23"/>
    <mergeCell ref="D22:E22"/>
    <mergeCell ref="F22:G22"/>
    <mergeCell ref="H22:J22"/>
    <mergeCell ref="H30:J30"/>
    <mergeCell ref="D29:E29"/>
    <mergeCell ref="F29:G29"/>
    <mergeCell ref="H29:J29"/>
    <mergeCell ref="C48:E48"/>
    <mergeCell ref="E42:F42"/>
    <mergeCell ref="C46:E46"/>
    <mergeCell ref="F46:G46"/>
    <mergeCell ref="C47:E47"/>
    <mergeCell ref="C41:D41"/>
    <mergeCell ref="E41:F41"/>
    <mergeCell ref="C40:D40"/>
    <mergeCell ref="C39:D39"/>
    <mergeCell ref="F31:G31"/>
    <mergeCell ref="D33:E33"/>
    <mergeCell ref="E36:F36"/>
    <mergeCell ref="H25:J25"/>
    <mergeCell ref="D28:E28"/>
    <mergeCell ref="F28:G28"/>
    <mergeCell ref="H28:J28"/>
    <mergeCell ref="D26:E26"/>
    <mergeCell ref="F26:G26"/>
    <mergeCell ref="H26:J26"/>
    <mergeCell ref="D27:E27"/>
    <mergeCell ref="F27:G27"/>
    <mergeCell ref="H27:J27"/>
  </mergeCells>
  <phoneticPr fontId="0" type="noConversion"/>
  <pageMargins left="0.59055118110236227" right="0.75" top="1" bottom="1" header="0" footer="0"/>
  <pageSetup paperSize="9" scale="72" orientation="portrait" horizontalDpi="4294967293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66"/>
  <sheetViews>
    <sheetView topLeftCell="A7" zoomScaleNormal="100" workbookViewId="0">
      <selection activeCell="G22" sqref="G22"/>
    </sheetView>
  </sheetViews>
  <sheetFormatPr defaultColWidth="11.42578125" defaultRowHeight="12.75"/>
  <cols>
    <col min="1" max="1" width="4.28515625" customWidth="1"/>
    <col min="2" max="2" width="11.28515625" customWidth="1"/>
    <col min="3" max="3" width="9.7109375" customWidth="1"/>
    <col min="4" max="4" width="12.5703125" customWidth="1"/>
    <col min="5" max="5" width="9.7109375" customWidth="1"/>
    <col min="6" max="6" width="11.7109375" bestFit="1" customWidth="1"/>
    <col min="7" max="7" width="9.7109375" customWidth="1"/>
    <col min="8" max="8" width="13" customWidth="1"/>
    <col min="9" max="9" width="9.7109375" customWidth="1"/>
  </cols>
  <sheetData>
    <row r="1" spans="1:10">
      <c r="A1" s="3"/>
      <c r="B1" s="4"/>
      <c r="C1" s="4"/>
      <c r="D1" s="4"/>
      <c r="E1" s="4"/>
      <c r="F1" s="4"/>
      <c r="G1" s="4"/>
      <c r="H1" s="4"/>
      <c r="I1" s="4"/>
      <c r="J1" s="3"/>
    </row>
    <row r="2" spans="1:10">
      <c r="A2" s="5"/>
      <c r="B2" s="3"/>
      <c r="C2" s="3"/>
      <c r="D2" s="3"/>
      <c r="E2" s="3"/>
      <c r="F2" s="3"/>
      <c r="G2" s="3"/>
      <c r="H2" s="3"/>
      <c r="I2" s="3"/>
      <c r="J2" s="3"/>
    </row>
    <row r="3" spans="1:10">
      <c r="A3" s="5"/>
      <c r="B3" s="3"/>
      <c r="C3" s="3"/>
      <c r="D3" s="3"/>
      <c r="E3" s="3"/>
      <c r="F3" s="3"/>
      <c r="G3" s="3"/>
      <c r="H3" s="3"/>
      <c r="I3" s="3"/>
      <c r="J3" s="3"/>
    </row>
    <row r="4" spans="1:10">
      <c r="A4" s="6"/>
      <c r="B4" s="3"/>
      <c r="C4" s="3"/>
      <c r="D4" s="3"/>
      <c r="E4" s="3"/>
      <c r="F4" s="3"/>
      <c r="G4" s="3"/>
      <c r="H4" s="3"/>
      <c r="I4" s="3"/>
      <c r="J4" s="3"/>
    </row>
    <row r="5" spans="1:10">
      <c r="A5" s="5"/>
      <c r="B5" s="3"/>
      <c r="C5" s="3"/>
      <c r="D5" s="3"/>
      <c r="E5" s="3"/>
      <c r="F5" s="3"/>
      <c r="G5" s="3"/>
      <c r="H5" s="3"/>
      <c r="I5" s="3"/>
      <c r="J5" s="3"/>
    </row>
    <row r="6" spans="1:10">
      <c r="A6" s="6"/>
      <c r="B6" s="3"/>
      <c r="C6" s="3"/>
      <c r="D6" s="3"/>
      <c r="E6" s="3"/>
      <c r="F6" s="3"/>
      <c r="G6" s="3"/>
      <c r="H6" s="3"/>
      <c r="I6" s="3"/>
      <c r="J6" s="3"/>
    </row>
    <row r="7" spans="1:10">
      <c r="A7" s="6"/>
      <c r="B7" s="3"/>
      <c r="C7" s="3"/>
      <c r="D7" s="3"/>
      <c r="E7" s="3"/>
      <c r="F7" s="3"/>
      <c r="G7" s="3"/>
      <c r="H7" s="3"/>
      <c r="I7" s="3"/>
      <c r="J7" s="3"/>
    </row>
    <row r="8" spans="1:10">
      <c r="A8" s="6"/>
      <c r="B8" s="3"/>
      <c r="C8" s="3"/>
      <c r="D8" s="3"/>
      <c r="E8" s="3"/>
      <c r="F8" s="3"/>
      <c r="G8" s="3"/>
      <c r="H8" s="3"/>
      <c r="I8" s="3"/>
      <c r="J8" s="3"/>
    </row>
    <row r="9" spans="1:10">
      <c r="A9" s="6"/>
      <c r="B9" s="3"/>
      <c r="C9" s="3"/>
      <c r="D9" s="3"/>
      <c r="E9" s="3"/>
      <c r="F9" s="3"/>
      <c r="G9" s="3"/>
      <c r="H9" s="3"/>
      <c r="I9" s="3"/>
      <c r="J9" s="3"/>
    </row>
    <row r="10" spans="1:10">
      <c r="A10" s="6"/>
      <c r="B10" s="3"/>
      <c r="C10" s="3"/>
      <c r="D10" s="3"/>
      <c r="E10" s="3"/>
      <c r="F10" s="3"/>
      <c r="G10" s="3"/>
      <c r="H10" s="3"/>
      <c r="I10" s="3"/>
      <c r="J10" s="3"/>
    </row>
    <row r="11" spans="1:10">
      <c r="A11" s="3"/>
      <c r="B11" s="3"/>
      <c r="C11" s="292" t="s">
        <v>27</v>
      </c>
      <c r="D11" s="292"/>
      <c r="E11" s="292"/>
      <c r="F11" s="292"/>
      <c r="G11" s="292"/>
      <c r="H11" s="292"/>
      <c r="I11" s="3"/>
      <c r="J11" s="3"/>
    </row>
    <row r="12" spans="1:10">
      <c r="A12" s="3"/>
      <c r="B12" s="3"/>
      <c r="C12" s="3"/>
      <c r="D12" s="3"/>
      <c r="E12" s="3"/>
      <c r="F12" s="3"/>
      <c r="G12" s="3"/>
      <c r="H12" s="3"/>
      <c r="I12" s="3"/>
      <c r="J12" s="3"/>
    </row>
    <row r="13" spans="1:10">
      <c r="A13" s="3"/>
      <c r="B13" s="25" t="s">
        <v>28</v>
      </c>
      <c r="C13" s="289">
        <v>2020</v>
      </c>
      <c r="D13" s="291"/>
      <c r="E13" s="289" t="s">
        <v>48</v>
      </c>
      <c r="F13" s="291"/>
      <c r="G13" s="289">
        <v>2021</v>
      </c>
      <c r="H13" s="291"/>
      <c r="I13" s="289" t="s">
        <v>48</v>
      </c>
      <c r="J13" s="291"/>
    </row>
    <row r="14" spans="1:10">
      <c r="A14" s="3"/>
      <c r="B14" s="26" t="s">
        <v>29</v>
      </c>
      <c r="C14" s="24" t="s">
        <v>30</v>
      </c>
      <c r="D14" s="24" t="s">
        <v>31</v>
      </c>
      <c r="E14" s="24" t="s">
        <v>30</v>
      </c>
      <c r="F14" s="24" t="s">
        <v>31</v>
      </c>
      <c r="G14" s="24" t="s">
        <v>30</v>
      </c>
      <c r="H14" s="24" t="s">
        <v>31</v>
      </c>
      <c r="I14" s="24" t="s">
        <v>30</v>
      </c>
      <c r="J14" s="24" t="s">
        <v>31</v>
      </c>
    </row>
    <row r="15" spans="1:10">
      <c r="A15" s="3"/>
      <c r="B15" s="27"/>
      <c r="C15" s="28"/>
      <c r="D15" s="29"/>
      <c r="E15" s="28"/>
      <c r="F15" s="29"/>
      <c r="G15" s="28"/>
      <c r="H15" s="29"/>
      <c r="I15" s="28"/>
      <c r="J15" s="29"/>
    </row>
    <row r="16" spans="1:10">
      <c r="A16" s="3"/>
      <c r="B16" s="30" t="s">
        <v>32</v>
      </c>
      <c r="C16" s="84">
        <f>'ENE 2021'!E68</f>
        <v>417.84</v>
      </c>
      <c r="D16" s="32">
        <v>15</v>
      </c>
      <c r="E16" s="31">
        <f>C16</f>
        <v>417.84</v>
      </c>
      <c r="F16" s="32">
        <f>D16</f>
        <v>15</v>
      </c>
      <c r="G16" s="31">
        <f>'ENE 2021'!G46</f>
        <v>1008.93</v>
      </c>
      <c r="H16" s="32">
        <f>'ENE 2021'!H55</f>
        <v>32</v>
      </c>
      <c r="I16" s="31">
        <f>G16</f>
        <v>1008.93</v>
      </c>
      <c r="J16" s="32">
        <f>H16</f>
        <v>32</v>
      </c>
    </row>
    <row r="17" spans="1:10">
      <c r="A17" s="3"/>
      <c r="B17" s="30" t="s">
        <v>38</v>
      </c>
      <c r="C17" s="31">
        <f>'FEB 2021'!E73</f>
        <v>591.57000000000005</v>
      </c>
      <c r="D17" s="32">
        <v>22</v>
      </c>
      <c r="E17" s="31">
        <f>C17+E16</f>
        <v>1009.4100000000001</v>
      </c>
      <c r="F17" s="32">
        <f>F16+D17</f>
        <v>37</v>
      </c>
      <c r="G17" s="31">
        <f>'FEB 2021'!G48</f>
        <v>719.82</v>
      </c>
      <c r="H17" s="32">
        <f>'FEB 2021'!H57</f>
        <v>25</v>
      </c>
      <c r="I17" s="31">
        <f t="shared" ref="I17:J21" si="0">I16+G17</f>
        <v>1728.75</v>
      </c>
      <c r="J17" s="32">
        <f t="shared" si="0"/>
        <v>57</v>
      </c>
    </row>
    <row r="18" spans="1:10">
      <c r="A18" s="3"/>
      <c r="B18" s="30" t="s">
        <v>40</v>
      </c>
      <c r="C18" s="31">
        <f>'MAR 2021'!E66</f>
        <v>408.24</v>
      </c>
      <c r="D18" s="32">
        <v>13</v>
      </c>
      <c r="E18" s="31">
        <f>E17+C18</f>
        <v>1417.65</v>
      </c>
      <c r="F18" s="32">
        <f>F17+D18</f>
        <v>50</v>
      </c>
      <c r="G18" s="31">
        <f>'MAR 2021'!G43</f>
        <v>815.73</v>
      </c>
      <c r="H18" s="32">
        <f>'MAR 2021'!H51</f>
        <v>26</v>
      </c>
      <c r="I18" s="31">
        <f t="shared" si="0"/>
        <v>2544.48</v>
      </c>
      <c r="J18" s="32">
        <f t="shared" si="0"/>
        <v>83</v>
      </c>
    </row>
    <row r="19" spans="1:10">
      <c r="A19" s="3"/>
      <c r="B19" s="30" t="s">
        <v>43</v>
      </c>
      <c r="C19" s="31">
        <f>'ABR 2021'!E66</f>
        <v>188.13</v>
      </c>
      <c r="D19" s="32">
        <v>6</v>
      </c>
      <c r="E19" s="31">
        <f>E18+C19</f>
        <v>1605.7800000000002</v>
      </c>
      <c r="F19" s="32">
        <f>F18+D19</f>
        <v>56</v>
      </c>
      <c r="G19" s="31">
        <f>'ABR 2021'!G41</f>
        <v>323.73</v>
      </c>
      <c r="H19" s="32">
        <f>'ABR 2021'!H50</f>
        <v>11</v>
      </c>
      <c r="I19" s="31">
        <f t="shared" si="0"/>
        <v>2868.21</v>
      </c>
      <c r="J19" s="32">
        <f t="shared" si="0"/>
        <v>94</v>
      </c>
    </row>
    <row r="20" spans="1:10">
      <c r="A20" s="3"/>
      <c r="B20" s="30" t="s">
        <v>45</v>
      </c>
      <c r="C20" s="31">
        <f>'MAY 2021'!E68</f>
        <v>279.93</v>
      </c>
      <c r="D20" s="32">
        <v>8</v>
      </c>
      <c r="E20" s="31">
        <f>E19+C20</f>
        <v>1885.7100000000003</v>
      </c>
      <c r="F20" s="32">
        <f>F19+D20</f>
        <v>64</v>
      </c>
      <c r="G20" s="31">
        <f>'MAY 2021'!G44</f>
        <v>142.35</v>
      </c>
      <c r="H20" s="32">
        <f>'MAY 2021'!H52</f>
        <v>6</v>
      </c>
      <c r="I20" s="31">
        <f t="shared" si="0"/>
        <v>3010.56</v>
      </c>
      <c r="J20" s="32">
        <f t="shared" si="0"/>
        <v>100</v>
      </c>
    </row>
    <row r="21" spans="1:10">
      <c r="A21" s="3"/>
      <c r="B21" s="33" t="s">
        <v>47</v>
      </c>
      <c r="C21" s="34">
        <f>'JUN 2021'!E63</f>
        <v>202.08</v>
      </c>
      <c r="D21" s="35">
        <v>7</v>
      </c>
      <c r="E21" s="34">
        <f>E20+C21</f>
        <v>2087.7900000000004</v>
      </c>
      <c r="F21" s="35">
        <f>F20+D21</f>
        <v>71</v>
      </c>
      <c r="G21" s="34">
        <f>+'JUN 2021'!G33</f>
        <v>189.81</v>
      </c>
      <c r="H21" s="35">
        <f>+'JUN 2021'!H42</f>
        <v>6</v>
      </c>
      <c r="I21" s="34">
        <f t="shared" si="0"/>
        <v>3200.37</v>
      </c>
      <c r="J21" s="35">
        <f t="shared" si="0"/>
        <v>106</v>
      </c>
    </row>
    <row r="22" spans="1:10">
      <c r="A22" s="3"/>
      <c r="B22" s="38"/>
      <c r="C22" s="36"/>
      <c r="D22" s="37"/>
      <c r="E22" s="36"/>
      <c r="F22" s="37"/>
      <c r="G22" s="36"/>
      <c r="H22" s="37"/>
      <c r="I22" s="36"/>
      <c r="J22" s="37"/>
    </row>
    <row r="23" spans="1:10">
      <c r="A23" s="3"/>
      <c r="B23" s="61" t="s">
        <v>49</v>
      </c>
      <c r="C23" s="22">
        <f>SUM(C16:C21)</f>
        <v>2087.7900000000004</v>
      </c>
      <c r="D23" s="22">
        <f>SUM(D16:D21)</f>
        <v>71</v>
      </c>
      <c r="E23" s="22">
        <f>E21</f>
        <v>2087.7900000000004</v>
      </c>
      <c r="F23" s="22">
        <f>F21</f>
        <v>71</v>
      </c>
      <c r="G23" s="22">
        <f>SUM(G16:G21)</f>
        <v>3200.37</v>
      </c>
      <c r="H23" s="22">
        <f>SUM(H16:H21)</f>
        <v>106</v>
      </c>
      <c r="I23" s="22">
        <f>I21</f>
        <v>3200.37</v>
      </c>
      <c r="J23" s="22">
        <f>J21</f>
        <v>106</v>
      </c>
    </row>
    <row r="24" spans="1:10">
      <c r="A24" s="3"/>
      <c r="B24" s="3"/>
      <c r="C24" s="3"/>
      <c r="D24" s="3"/>
      <c r="E24" s="3"/>
      <c r="F24" s="3"/>
      <c r="G24" s="3"/>
      <c r="H24" s="3"/>
      <c r="I24" s="3"/>
      <c r="J24" s="3"/>
    </row>
    <row r="25" spans="1:10">
      <c r="A25" s="3"/>
      <c r="B25" s="3"/>
      <c r="C25" s="3"/>
      <c r="D25" s="3"/>
      <c r="E25" s="3"/>
      <c r="F25" s="3"/>
      <c r="G25" s="3"/>
      <c r="H25" s="3"/>
      <c r="I25" s="3"/>
      <c r="J25" s="3"/>
    </row>
    <row r="26" spans="1:10">
      <c r="A26" s="3"/>
      <c r="B26" s="3"/>
      <c r="C26" s="3"/>
      <c r="D26" s="3"/>
      <c r="E26" s="3"/>
      <c r="F26" s="3"/>
      <c r="G26" s="3"/>
      <c r="H26" s="3"/>
      <c r="I26" s="3"/>
      <c r="J26" s="3"/>
    </row>
    <row r="27" spans="1:10">
      <c r="A27" s="3"/>
      <c r="B27" s="3"/>
      <c r="C27" s="3"/>
      <c r="D27" s="3"/>
      <c r="E27" s="3"/>
      <c r="F27" s="3"/>
      <c r="G27" s="3"/>
      <c r="H27" s="3"/>
      <c r="I27" s="3"/>
      <c r="J27" s="3"/>
    </row>
    <row r="28" spans="1:10">
      <c r="A28" s="3"/>
      <c r="B28" s="3"/>
      <c r="C28" s="3"/>
      <c r="D28" s="3"/>
      <c r="E28" s="3"/>
      <c r="F28" s="3"/>
      <c r="G28" s="3"/>
      <c r="H28" s="3"/>
      <c r="I28" s="3"/>
      <c r="J28" s="3"/>
    </row>
    <row r="29" spans="1:10">
      <c r="A29" s="3"/>
      <c r="B29" s="3"/>
      <c r="C29" s="3"/>
      <c r="D29" s="3"/>
      <c r="E29" s="3"/>
      <c r="F29" s="3"/>
      <c r="G29" s="3"/>
      <c r="H29" s="3"/>
      <c r="I29" s="3"/>
      <c r="J29" s="3"/>
    </row>
    <row r="30" spans="1:10">
      <c r="A30" s="3"/>
      <c r="B30" s="3"/>
      <c r="C30" s="3"/>
      <c r="D30" s="3"/>
      <c r="E30" s="3"/>
      <c r="F30" s="3"/>
      <c r="G30" s="3"/>
      <c r="H30" s="3"/>
      <c r="I30" s="3"/>
      <c r="J30" s="3"/>
    </row>
    <row r="31" spans="1:10">
      <c r="A31" s="3"/>
      <c r="B31" s="3"/>
      <c r="C31" s="3"/>
      <c r="D31" s="3"/>
      <c r="E31" s="3"/>
      <c r="F31" s="3"/>
      <c r="G31" s="3"/>
      <c r="H31" s="3"/>
      <c r="I31" s="3"/>
      <c r="J31" s="3"/>
    </row>
    <row r="32" spans="1:10">
      <c r="A32" s="3"/>
      <c r="B32" s="3"/>
      <c r="C32" s="3"/>
      <c r="D32" s="3"/>
      <c r="E32" s="3"/>
      <c r="F32" s="3"/>
      <c r="G32" s="3"/>
      <c r="H32" s="3"/>
      <c r="I32" s="3"/>
      <c r="J32" s="3"/>
    </row>
    <row r="33" spans="1:10">
      <c r="A33" s="3"/>
      <c r="B33" s="3"/>
      <c r="C33" s="3"/>
      <c r="D33" s="3"/>
      <c r="E33" s="3"/>
      <c r="F33" s="3"/>
      <c r="G33" s="3"/>
      <c r="H33" s="3"/>
      <c r="I33" s="3"/>
      <c r="J33" s="3"/>
    </row>
    <row r="34" spans="1:10">
      <c r="A34" s="3"/>
      <c r="B34" s="3"/>
      <c r="C34" s="3"/>
      <c r="D34" s="3"/>
      <c r="E34" s="3"/>
      <c r="F34" s="3"/>
      <c r="G34" s="3"/>
      <c r="H34" s="3"/>
      <c r="I34" s="3"/>
      <c r="J34" s="3"/>
    </row>
    <row r="35" spans="1:10">
      <c r="A35" s="3"/>
      <c r="B35" s="3"/>
      <c r="C35" s="3"/>
      <c r="D35" s="3"/>
      <c r="E35" s="3"/>
      <c r="F35" s="3"/>
      <c r="G35" s="3"/>
      <c r="H35" s="3"/>
      <c r="I35" s="3"/>
      <c r="J35" s="3"/>
    </row>
    <row r="36" spans="1:10">
      <c r="A36" s="3"/>
      <c r="B36" s="3"/>
      <c r="C36" s="3"/>
      <c r="D36" s="3"/>
      <c r="E36" s="3"/>
      <c r="F36" s="3"/>
      <c r="G36" s="3"/>
      <c r="H36" s="3"/>
      <c r="I36" s="3"/>
      <c r="J36" s="3"/>
    </row>
    <row r="37" spans="1:10">
      <c r="A37" s="3"/>
      <c r="B37" s="63"/>
      <c r="C37" s="289" t="s">
        <v>7</v>
      </c>
      <c r="D37" s="290"/>
      <c r="E37" s="290"/>
      <c r="F37" s="291"/>
      <c r="G37" s="289" t="s">
        <v>48</v>
      </c>
      <c r="H37" s="290"/>
      <c r="I37" s="290"/>
      <c r="J37" s="291"/>
    </row>
    <row r="38" spans="1:10">
      <c r="A38" s="3"/>
      <c r="B38" s="48" t="s">
        <v>29</v>
      </c>
      <c r="C38" s="287" t="s">
        <v>50</v>
      </c>
      <c r="D38" s="288"/>
      <c r="E38" s="287" t="s">
        <v>51</v>
      </c>
      <c r="F38" s="288"/>
      <c r="G38" s="287" t="s">
        <v>50</v>
      </c>
      <c r="H38" s="288"/>
      <c r="I38" s="287" t="s">
        <v>51</v>
      </c>
      <c r="J38" s="288"/>
    </row>
    <row r="39" spans="1:10">
      <c r="A39" s="3"/>
      <c r="B39" s="27"/>
      <c r="C39" s="3"/>
      <c r="D39" s="3"/>
      <c r="E39" s="3"/>
      <c r="F39" s="3"/>
      <c r="G39" s="64"/>
      <c r="H39" s="3"/>
      <c r="I39" s="3"/>
      <c r="J39" s="71"/>
    </row>
    <row r="40" spans="1:10">
      <c r="A40" s="3"/>
      <c r="B40" s="30" t="s">
        <v>32</v>
      </c>
      <c r="C40" s="3"/>
      <c r="D40" s="57">
        <f>'ENE 2021'!F59</f>
        <v>0</v>
      </c>
      <c r="E40" s="3"/>
      <c r="F40" s="57">
        <f>+'ENE 2021'!F60:G60</f>
        <v>1008930</v>
      </c>
      <c r="G40" s="65"/>
      <c r="H40" s="57">
        <f>D40</f>
        <v>0</v>
      </c>
      <c r="I40" s="3"/>
      <c r="J40" s="72">
        <f>F40</f>
        <v>1008930</v>
      </c>
    </row>
    <row r="41" spans="1:10">
      <c r="A41" s="3"/>
      <c r="B41" s="30" t="s">
        <v>38</v>
      </c>
      <c r="C41" s="3"/>
      <c r="D41" s="57">
        <f>'FEB 2021'!F62</f>
        <v>0</v>
      </c>
      <c r="E41" s="3"/>
      <c r="F41" s="57">
        <f>'FEB 2021'!F63</f>
        <v>719820</v>
      </c>
      <c r="G41" s="65"/>
      <c r="H41" s="57">
        <f>H40+D41</f>
        <v>0</v>
      </c>
      <c r="I41" s="3"/>
      <c r="J41" s="72">
        <f>J40+F41</f>
        <v>1728750</v>
      </c>
    </row>
    <row r="42" spans="1:10">
      <c r="A42" s="3"/>
      <c r="B42" s="30" t="s">
        <v>40</v>
      </c>
      <c r="C42" s="3"/>
      <c r="D42" s="57">
        <f>'MAR 2021'!G54</f>
        <v>0</v>
      </c>
      <c r="E42" s="3"/>
      <c r="F42" s="57">
        <f>'MAR 2021'!F55</f>
        <v>815730</v>
      </c>
      <c r="G42" s="65"/>
      <c r="H42" s="57">
        <f>H41+D42</f>
        <v>0</v>
      </c>
      <c r="I42" s="3"/>
      <c r="J42" s="72">
        <f>J41+F42</f>
        <v>2544480</v>
      </c>
    </row>
    <row r="43" spans="1:10">
      <c r="A43" s="3"/>
      <c r="B43" s="30" t="s">
        <v>43</v>
      </c>
      <c r="C43" s="3"/>
      <c r="D43" s="57">
        <f>'ABR 2021'!F54</f>
        <v>0</v>
      </c>
      <c r="E43" s="3"/>
      <c r="F43" s="57">
        <f>'ABR 2021'!F55</f>
        <v>323730</v>
      </c>
      <c r="G43" s="65"/>
      <c r="H43" s="57">
        <f>H42+D43</f>
        <v>0</v>
      </c>
      <c r="I43" s="3"/>
      <c r="J43" s="72">
        <f>J42+F43</f>
        <v>2868210</v>
      </c>
    </row>
    <row r="44" spans="1:10">
      <c r="A44" s="3"/>
      <c r="B44" s="30" t="s">
        <v>45</v>
      </c>
      <c r="C44" s="3"/>
      <c r="D44" s="57">
        <f>'MAY 2021'!G55</f>
        <v>0</v>
      </c>
      <c r="E44" s="3"/>
      <c r="F44" s="57">
        <f>'MAY 2021'!F56</f>
        <v>142.35</v>
      </c>
      <c r="G44" s="65"/>
      <c r="H44" s="57">
        <f>H43+D44</f>
        <v>0</v>
      </c>
      <c r="I44" s="3"/>
      <c r="J44" s="72">
        <f>J43+F44</f>
        <v>2868352.35</v>
      </c>
    </row>
    <row r="45" spans="1:10">
      <c r="A45" s="3"/>
      <c r="B45" s="33" t="s">
        <v>47</v>
      </c>
      <c r="C45" s="66"/>
      <c r="D45" s="69">
        <f>+'JUN 2021'!G47</f>
        <v>0</v>
      </c>
      <c r="E45" s="67"/>
      <c r="F45" s="69">
        <f>+'JUN 2021'!G48</f>
        <v>189810</v>
      </c>
      <c r="G45" s="66"/>
      <c r="H45" s="69">
        <f>H44+D45</f>
        <v>0</v>
      </c>
      <c r="I45" s="67"/>
      <c r="J45" s="73">
        <f>J44+F45</f>
        <v>3058162.35</v>
      </c>
    </row>
    <row r="46" spans="1:10">
      <c r="A46" s="3"/>
      <c r="B46" s="3"/>
      <c r="C46" s="3"/>
      <c r="D46" s="3"/>
      <c r="E46" s="3"/>
      <c r="F46" s="3"/>
      <c r="G46" s="3"/>
      <c r="H46" s="3"/>
      <c r="I46" s="3"/>
      <c r="J46" s="3"/>
    </row>
    <row r="47" spans="1:10">
      <c r="A47" s="3"/>
      <c r="B47" s="61" t="s">
        <v>49</v>
      </c>
      <c r="C47" s="68"/>
      <c r="D47" s="60">
        <f>SUM(D40:D46)</f>
        <v>0</v>
      </c>
      <c r="E47" s="60"/>
      <c r="F47" s="60">
        <f>SUM(F40:F46)</f>
        <v>3058162.35</v>
      </c>
      <c r="G47" s="68"/>
      <c r="H47" s="60">
        <f>H45</f>
        <v>0</v>
      </c>
      <c r="I47" s="68"/>
      <c r="J47" s="60">
        <f>J45</f>
        <v>3058162.35</v>
      </c>
    </row>
    <row r="48" spans="1:10">
      <c r="A48" s="3"/>
      <c r="B48" s="3"/>
      <c r="C48" s="3"/>
      <c r="D48" s="3"/>
      <c r="E48" s="3"/>
      <c r="F48" s="3"/>
      <c r="G48" s="3"/>
      <c r="H48" s="3"/>
      <c r="I48" s="3"/>
      <c r="J48" s="3"/>
    </row>
    <row r="49" spans="1:10">
      <c r="A49" s="3"/>
      <c r="B49" s="3"/>
      <c r="C49" s="3"/>
      <c r="D49" s="3"/>
      <c r="E49" s="3"/>
      <c r="F49" s="57"/>
      <c r="G49" s="3"/>
      <c r="H49" s="3"/>
      <c r="I49" s="3"/>
      <c r="J49" s="3"/>
    </row>
    <row r="50" spans="1:10">
      <c r="A50" s="3"/>
      <c r="B50" s="3"/>
      <c r="C50" s="3"/>
      <c r="D50" s="3"/>
      <c r="E50" s="3"/>
      <c r="F50" s="3"/>
      <c r="G50" s="57"/>
      <c r="H50" s="3"/>
      <c r="I50" s="3"/>
      <c r="J50" s="3"/>
    </row>
    <row r="51" spans="1:10">
      <c r="A51" s="3"/>
      <c r="B51" s="3"/>
      <c r="C51" s="3"/>
      <c r="D51" s="3"/>
      <c r="E51" s="3"/>
      <c r="F51" s="3"/>
      <c r="G51" s="3"/>
      <c r="H51" s="3"/>
      <c r="I51" s="3"/>
      <c r="J51" s="3"/>
    </row>
    <row r="52" spans="1:10">
      <c r="A52" s="3"/>
      <c r="B52" s="3"/>
      <c r="C52" s="3"/>
      <c r="D52" s="3"/>
      <c r="E52" s="3"/>
      <c r="F52" s="3"/>
      <c r="G52" s="3"/>
      <c r="H52" s="3"/>
      <c r="I52" s="3"/>
      <c r="J52" s="3"/>
    </row>
    <row r="53" spans="1:10">
      <c r="A53" s="3"/>
      <c r="B53" s="3"/>
      <c r="C53" s="3"/>
      <c r="D53" s="3"/>
      <c r="E53" s="3"/>
      <c r="F53" s="3"/>
      <c r="G53" s="3"/>
      <c r="H53" s="3"/>
      <c r="I53" s="3"/>
      <c r="J53" s="3"/>
    </row>
    <row r="54" spans="1:10">
      <c r="A54" s="3"/>
      <c r="B54" s="3"/>
      <c r="C54" s="3"/>
      <c r="D54" s="3"/>
      <c r="E54" s="3"/>
      <c r="F54" s="3"/>
      <c r="G54" s="3"/>
      <c r="H54" s="3"/>
      <c r="I54" s="3"/>
      <c r="J54" s="3"/>
    </row>
    <row r="55" spans="1:10">
      <c r="A55" s="3"/>
      <c r="B55" s="3"/>
      <c r="C55" s="3"/>
      <c r="D55" s="3"/>
      <c r="E55" s="3"/>
      <c r="F55" s="3"/>
      <c r="G55" s="3"/>
      <c r="H55" s="3"/>
      <c r="I55" s="3"/>
      <c r="J55" s="3"/>
    </row>
    <row r="56" spans="1:10">
      <c r="A56" s="3"/>
      <c r="B56" s="3"/>
      <c r="C56" s="3"/>
      <c r="D56" s="3"/>
      <c r="E56" s="3"/>
      <c r="F56" s="3"/>
      <c r="G56" s="3"/>
      <c r="H56" s="3"/>
      <c r="I56" s="3"/>
      <c r="J56" s="3"/>
    </row>
    <row r="57" spans="1:10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0">
      <c r="A58" s="3"/>
      <c r="B58" s="3"/>
      <c r="C58" s="3"/>
      <c r="D58" s="3"/>
      <c r="E58" s="3"/>
      <c r="F58" s="3"/>
      <c r="G58" s="3"/>
      <c r="H58" s="3"/>
      <c r="I58" s="3"/>
      <c r="J58" s="3"/>
    </row>
    <row r="59" spans="1:10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>
      <c r="A66" s="3"/>
      <c r="B66" s="3"/>
      <c r="C66" s="3"/>
      <c r="D66" s="3"/>
      <c r="E66" s="3"/>
      <c r="F66" s="3"/>
      <c r="G66" s="3"/>
      <c r="H66" s="3"/>
      <c r="I66" s="3"/>
      <c r="J66" s="3"/>
    </row>
  </sheetData>
  <mergeCells count="11">
    <mergeCell ref="C13:D13"/>
    <mergeCell ref="E13:F13"/>
    <mergeCell ref="G13:H13"/>
    <mergeCell ref="I13:J13"/>
    <mergeCell ref="C11:H11"/>
    <mergeCell ref="C38:D38"/>
    <mergeCell ref="E38:F38"/>
    <mergeCell ref="G38:H38"/>
    <mergeCell ref="I38:J38"/>
    <mergeCell ref="C37:F37"/>
    <mergeCell ref="G37:J37"/>
  </mergeCells>
  <phoneticPr fontId="0" type="noConversion"/>
  <pageMargins left="0.59055118110236227" right="0.75" top="1" bottom="1" header="0" footer="0"/>
  <pageSetup paperSize="9" scale="85" orientation="portrait" horizontalDpi="4294967293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145"/>
  <sheetViews>
    <sheetView topLeftCell="A25" zoomScaleNormal="100" workbookViewId="0">
      <selection activeCell="A33" sqref="A33:XFD33"/>
    </sheetView>
  </sheetViews>
  <sheetFormatPr defaultColWidth="9.140625" defaultRowHeight="12.75"/>
  <cols>
    <col min="1" max="2" width="4.28515625" customWidth="1"/>
    <col min="3" max="10" width="12.42578125" customWidth="1"/>
    <col min="11" max="256" width="11.42578125" customWidth="1"/>
  </cols>
  <sheetData>
    <row r="1" spans="1:11">
      <c r="A1" s="3"/>
      <c r="B1" s="3"/>
      <c r="C1" s="4"/>
      <c r="D1" s="4"/>
      <c r="E1" s="4"/>
      <c r="F1" s="4"/>
      <c r="G1" s="4"/>
      <c r="H1" s="4"/>
      <c r="I1" s="4"/>
      <c r="J1" s="4"/>
      <c r="K1" s="3"/>
    </row>
    <row r="2" spans="1:11">
      <c r="A2" s="5"/>
      <c r="B2" s="5"/>
      <c r="C2" s="3"/>
      <c r="D2" s="3"/>
      <c r="E2" s="3"/>
      <c r="F2" s="3"/>
      <c r="G2" s="3"/>
      <c r="H2" s="3"/>
      <c r="I2" s="3"/>
      <c r="J2" s="3"/>
      <c r="K2" s="3"/>
    </row>
    <row r="3" spans="1:11">
      <c r="A3" s="5"/>
      <c r="B3" s="5"/>
      <c r="C3" s="3"/>
      <c r="D3" s="3"/>
      <c r="E3" s="3"/>
      <c r="F3" s="3"/>
      <c r="G3" s="3"/>
      <c r="H3" s="3"/>
      <c r="I3" s="3"/>
      <c r="J3" s="3"/>
      <c r="K3" s="3"/>
    </row>
    <row r="4" spans="1:11">
      <c r="A4" s="6"/>
      <c r="B4" s="6"/>
      <c r="C4" s="3"/>
      <c r="D4" s="3"/>
      <c r="E4" s="3"/>
      <c r="F4" s="3"/>
      <c r="G4" s="3"/>
      <c r="H4" s="3"/>
      <c r="I4" s="3"/>
      <c r="J4" s="3"/>
      <c r="K4" s="3"/>
    </row>
    <row r="5" spans="1:11">
      <c r="A5" s="5"/>
      <c r="B5" s="5"/>
      <c r="C5" s="3"/>
      <c r="D5" s="3"/>
      <c r="E5" s="3"/>
      <c r="F5" s="3"/>
      <c r="G5" s="3"/>
      <c r="H5" s="3"/>
      <c r="I5" s="3"/>
      <c r="J5" s="3"/>
      <c r="K5" s="3"/>
    </row>
    <row r="6" spans="1:11">
      <c r="A6" s="6"/>
      <c r="B6" s="6"/>
      <c r="C6" s="3"/>
      <c r="D6" s="3"/>
      <c r="E6" s="3"/>
      <c r="F6" s="3"/>
      <c r="G6" s="3"/>
      <c r="H6" s="3"/>
      <c r="I6" s="3"/>
      <c r="J6" s="3"/>
      <c r="K6" s="3"/>
    </row>
    <row r="7" spans="1:11">
      <c r="A7" s="6"/>
      <c r="B7" s="6"/>
      <c r="C7" s="3"/>
      <c r="D7" s="3"/>
      <c r="E7" s="284" t="s">
        <v>1</v>
      </c>
      <c r="F7" s="284"/>
      <c r="G7" s="284"/>
      <c r="H7" s="284"/>
      <c r="I7" s="237" t="s">
        <v>52</v>
      </c>
      <c r="J7" s="226">
        <f>CARÁTULA!$F$16</f>
        <v>2021</v>
      </c>
      <c r="K7" s="3"/>
    </row>
    <row r="8" spans="1:11">
      <c r="A8" s="6"/>
      <c r="B8" s="6"/>
      <c r="C8" s="3"/>
      <c r="D8" s="3"/>
      <c r="E8" s="3"/>
      <c r="F8" s="3"/>
      <c r="G8" s="3"/>
      <c r="H8" s="3"/>
      <c r="I8" s="3"/>
      <c r="J8" s="3"/>
      <c r="K8" s="3"/>
    </row>
    <row r="9" spans="1:11">
      <c r="A9" s="7"/>
      <c r="B9" s="7"/>
      <c r="C9" s="8"/>
      <c r="D9" s="8"/>
      <c r="E9" s="7"/>
      <c r="F9" s="8"/>
      <c r="G9" s="8"/>
      <c r="H9" s="8"/>
      <c r="I9" s="7"/>
      <c r="J9" s="7"/>
      <c r="K9" s="3"/>
    </row>
    <row r="10" spans="1:11">
      <c r="A10" s="9"/>
      <c r="B10" s="241" t="s">
        <v>3</v>
      </c>
      <c r="C10" s="241" t="s">
        <v>4</v>
      </c>
      <c r="D10" s="267" t="s">
        <v>5</v>
      </c>
      <c r="E10" s="267"/>
      <c r="F10" s="267" t="s">
        <v>6</v>
      </c>
      <c r="G10" s="267"/>
      <c r="H10" s="267" t="s">
        <v>7</v>
      </c>
      <c r="I10" s="267"/>
      <c r="J10" s="267"/>
      <c r="K10" s="3"/>
    </row>
    <row r="11" spans="1:11">
      <c r="A11" s="9"/>
      <c r="B11" s="193">
        <v>125</v>
      </c>
      <c r="C11" s="191">
        <v>44382</v>
      </c>
      <c r="D11" s="335" t="s">
        <v>8</v>
      </c>
      <c r="E11" s="335"/>
      <c r="F11" s="293">
        <v>39960</v>
      </c>
      <c r="G11" s="294"/>
      <c r="H11" s="295" t="s">
        <v>42</v>
      </c>
      <c r="I11" s="296"/>
      <c r="J11" s="296"/>
      <c r="K11" s="3"/>
    </row>
    <row r="12" spans="1:11">
      <c r="A12" s="9"/>
      <c r="B12" s="9">
        <v>126</v>
      </c>
      <c r="C12" s="42">
        <v>44387</v>
      </c>
      <c r="D12" s="335" t="s">
        <v>8</v>
      </c>
      <c r="E12" s="335"/>
      <c r="F12" s="269">
        <v>17430</v>
      </c>
      <c r="G12" s="269"/>
      <c r="H12" s="266" t="s">
        <v>42</v>
      </c>
      <c r="I12" s="266"/>
      <c r="J12" s="266"/>
      <c r="K12" s="3"/>
    </row>
    <row r="13" spans="1:11">
      <c r="A13" s="9"/>
      <c r="B13" s="9">
        <v>127</v>
      </c>
      <c r="C13" s="42">
        <v>44393</v>
      </c>
      <c r="D13" s="335" t="s">
        <v>8</v>
      </c>
      <c r="E13" s="335"/>
      <c r="F13" s="269">
        <v>33600</v>
      </c>
      <c r="G13" s="269"/>
      <c r="H13" s="266" t="s">
        <v>42</v>
      </c>
      <c r="I13" s="266"/>
      <c r="J13" s="266"/>
      <c r="K13" s="3"/>
    </row>
    <row r="14" spans="1:11">
      <c r="A14" s="9"/>
      <c r="B14" s="9">
        <v>128</v>
      </c>
      <c r="C14" s="42">
        <v>44394</v>
      </c>
      <c r="D14" s="335" t="s">
        <v>11</v>
      </c>
      <c r="E14" s="335"/>
      <c r="F14" s="269">
        <v>93630</v>
      </c>
      <c r="G14" s="269"/>
      <c r="H14" s="266" t="s">
        <v>42</v>
      </c>
      <c r="I14" s="266"/>
      <c r="J14" s="266"/>
      <c r="K14" s="3"/>
    </row>
    <row r="15" spans="1:11">
      <c r="A15" s="9"/>
      <c r="B15" s="9">
        <v>129</v>
      </c>
      <c r="C15" s="42">
        <v>44397</v>
      </c>
      <c r="D15" s="335" t="s">
        <v>8</v>
      </c>
      <c r="E15" s="335"/>
      <c r="F15" s="269">
        <v>32820</v>
      </c>
      <c r="G15" s="269"/>
      <c r="H15" s="266" t="s">
        <v>42</v>
      </c>
      <c r="I15" s="266"/>
      <c r="J15" s="266"/>
      <c r="K15" s="3"/>
    </row>
    <row r="16" spans="1:11">
      <c r="A16" s="9"/>
      <c r="B16" s="9">
        <v>130</v>
      </c>
      <c r="C16" s="42">
        <v>44402</v>
      </c>
      <c r="D16" s="335" t="s">
        <v>8</v>
      </c>
      <c r="E16" s="335"/>
      <c r="F16" s="269">
        <v>50370</v>
      </c>
      <c r="G16" s="269"/>
      <c r="H16" s="266" t="s">
        <v>42</v>
      </c>
      <c r="I16" s="266"/>
      <c r="J16" s="266"/>
      <c r="K16" s="3"/>
    </row>
    <row r="17" spans="1:11">
      <c r="A17" s="9"/>
      <c r="B17" s="9">
        <v>131</v>
      </c>
      <c r="C17" s="42">
        <v>44399</v>
      </c>
      <c r="D17" s="335" t="s">
        <v>11</v>
      </c>
      <c r="E17" s="335"/>
      <c r="F17" s="269">
        <v>20460</v>
      </c>
      <c r="G17" s="269"/>
      <c r="H17" s="266" t="s">
        <v>42</v>
      </c>
      <c r="I17" s="266"/>
      <c r="J17" s="266"/>
      <c r="K17" s="3"/>
    </row>
    <row r="18" spans="1:11">
      <c r="A18" s="9"/>
      <c r="B18" s="9"/>
      <c r="C18" s="42"/>
      <c r="D18" s="335"/>
      <c r="E18" s="335"/>
      <c r="F18" s="269"/>
      <c r="G18" s="269"/>
      <c r="H18" s="266"/>
      <c r="I18" s="266"/>
      <c r="J18" s="266"/>
      <c r="K18" s="3"/>
    </row>
    <row r="19" spans="1:11">
      <c r="A19" s="9"/>
      <c r="B19" s="9"/>
      <c r="C19" s="42"/>
      <c r="D19" s="335"/>
      <c r="E19" s="335"/>
      <c r="F19" s="269"/>
      <c r="G19" s="269"/>
      <c r="H19" s="266"/>
      <c r="I19" s="266"/>
      <c r="J19" s="266"/>
      <c r="K19" s="3"/>
    </row>
    <row r="20" spans="1:11">
      <c r="A20" s="9"/>
      <c r="B20" s="9"/>
      <c r="C20" s="42"/>
      <c r="D20" s="335"/>
      <c r="E20" s="335"/>
      <c r="F20" s="269"/>
      <c r="G20" s="269"/>
      <c r="H20" s="266"/>
      <c r="I20" s="266"/>
      <c r="J20" s="266"/>
      <c r="K20" s="3"/>
    </row>
    <row r="21" spans="1:11">
      <c r="A21" s="9"/>
      <c r="B21" s="9"/>
      <c r="C21" s="42"/>
      <c r="D21" s="335"/>
      <c r="E21" s="335"/>
      <c r="F21" s="269"/>
      <c r="G21" s="269"/>
      <c r="H21" s="266"/>
      <c r="I21" s="266"/>
      <c r="J21" s="266"/>
      <c r="K21" s="3"/>
    </row>
    <row r="22" spans="1:11">
      <c r="A22" s="9"/>
      <c r="B22" s="9"/>
      <c r="C22" s="42"/>
      <c r="D22" s="335"/>
      <c r="E22" s="335"/>
      <c r="F22" s="269"/>
      <c r="G22" s="269"/>
      <c r="H22" s="266"/>
      <c r="I22" s="266"/>
      <c r="J22" s="266"/>
      <c r="K22" s="3"/>
    </row>
    <row r="23" spans="1:11">
      <c r="A23" s="9"/>
      <c r="B23" s="9"/>
      <c r="C23" s="42"/>
      <c r="D23" s="335"/>
      <c r="E23" s="335"/>
      <c r="F23" s="269"/>
      <c r="G23" s="269"/>
      <c r="H23" s="266"/>
      <c r="I23" s="266"/>
      <c r="J23" s="266"/>
      <c r="K23" s="3"/>
    </row>
    <row r="24" spans="1:11">
      <c r="A24" s="9"/>
      <c r="B24" s="9"/>
      <c r="C24" s="42"/>
      <c r="D24" s="335"/>
      <c r="E24" s="335"/>
      <c r="F24" s="269"/>
      <c r="G24" s="269"/>
      <c r="H24" s="266"/>
      <c r="I24" s="266"/>
      <c r="J24" s="266"/>
      <c r="K24" s="3"/>
    </row>
    <row r="25" spans="1:11">
      <c r="A25" s="9"/>
      <c r="B25" s="9"/>
      <c r="C25" s="42"/>
      <c r="D25" s="335"/>
      <c r="E25" s="335"/>
      <c r="F25" s="269"/>
      <c r="G25" s="269"/>
      <c r="H25" s="266"/>
      <c r="I25" s="266"/>
      <c r="J25" s="266"/>
      <c r="K25" s="3"/>
    </row>
    <row r="26" spans="1:11">
      <c r="A26" s="9"/>
      <c r="B26" s="9"/>
      <c r="C26" s="42"/>
      <c r="D26" s="266"/>
      <c r="E26" s="266"/>
      <c r="F26" s="269"/>
      <c r="G26" s="269"/>
      <c r="H26" s="266"/>
      <c r="I26" s="266"/>
      <c r="J26" s="266"/>
      <c r="K26" s="3"/>
    </row>
    <row r="27" spans="1:11">
      <c r="A27" s="9"/>
      <c r="B27" s="9"/>
      <c r="C27" s="42"/>
      <c r="D27" s="266"/>
      <c r="E27" s="266"/>
      <c r="F27" s="269"/>
      <c r="G27" s="269"/>
      <c r="H27" s="266"/>
      <c r="I27" s="266"/>
      <c r="J27" s="266"/>
      <c r="K27" s="3"/>
    </row>
    <row r="28" spans="1:11">
      <c r="A28" s="9"/>
      <c r="B28" s="9"/>
      <c r="C28" s="42"/>
      <c r="D28" s="335"/>
      <c r="E28" s="335"/>
      <c r="F28" s="269"/>
      <c r="G28" s="269"/>
      <c r="H28" s="266"/>
      <c r="I28" s="266"/>
      <c r="J28" s="266"/>
      <c r="K28" s="3"/>
    </row>
    <row r="29" spans="1:11">
      <c r="A29" s="9"/>
      <c r="B29" s="9"/>
      <c r="C29" s="42"/>
      <c r="D29" s="266"/>
      <c r="E29" s="266"/>
      <c r="F29" s="269"/>
      <c r="G29" s="269"/>
      <c r="H29" s="266"/>
      <c r="I29" s="266"/>
      <c r="J29" s="266"/>
      <c r="K29" s="3"/>
    </row>
    <row r="30" spans="1:11">
      <c r="A30" s="9"/>
      <c r="B30" s="9"/>
      <c r="C30" s="42"/>
      <c r="D30" s="7"/>
      <c r="E30" s="7"/>
      <c r="F30" s="236"/>
      <c r="G30" s="236"/>
      <c r="H30" s="9"/>
      <c r="I30" s="9"/>
      <c r="J30" s="9"/>
      <c r="K30" s="3"/>
    </row>
    <row r="31" spans="1:11">
      <c r="A31" s="9"/>
      <c r="B31" s="9"/>
      <c r="C31" s="11"/>
      <c r="D31" s="10"/>
      <c r="E31" s="10"/>
      <c r="F31" s="280">
        <f>SUM(F11:G29)</f>
        <v>288270</v>
      </c>
      <c r="G31" s="281"/>
      <c r="H31" s="18"/>
      <c r="I31" s="18"/>
      <c r="J31" s="18"/>
      <c r="K31" s="3"/>
    </row>
    <row r="32" spans="1:11">
      <c r="A32" s="9"/>
      <c r="B32" s="9"/>
      <c r="C32" s="7"/>
      <c r="D32" s="7"/>
      <c r="E32" s="13"/>
      <c r="F32" s="7"/>
      <c r="G32" s="7"/>
      <c r="H32" s="7"/>
      <c r="I32" s="7"/>
      <c r="J32" s="7"/>
      <c r="K32" s="3"/>
    </row>
    <row r="33" spans="1:11">
      <c r="A33" s="9"/>
      <c r="B33" s="9"/>
      <c r="C33" s="7"/>
      <c r="D33" s="282" t="s">
        <v>15</v>
      </c>
      <c r="E33" s="282"/>
      <c r="F33" s="7"/>
      <c r="G33" s="41">
        <f>F31/1000</f>
        <v>288.27</v>
      </c>
      <c r="H33" s="7"/>
      <c r="I33" s="7"/>
      <c r="J33" s="7"/>
      <c r="K33" s="3"/>
    </row>
    <row r="34" spans="1:11">
      <c r="A34" s="9"/>
      <c r="B34" s="9"/>
      <c r="C34" s="7"/>
      <c r="D34" s="7"/>
      <c r="E34" s="13"/>
      <c r="F34" s="7"/>
      <c r="G34" s="7"/>
      <c r="H34" s="7"/>
      <c r="I34" s="12"/>
      <c r="J34" s="7"/>
      <c r="K34" s="3"/>
    </row>
    <row r="35" spans="1:11">
      <c r="A35" s="9"/>
      <c r="B35" s="9"/>
      <c r="C35" s="7"/>
      <c r="D35" s="7"/>
      <c r="E35" s="7"/>
      <c r="F35" s="7"/>
      <c r="G35" s="7"/>
      <c r="H35" s="7"/>
      <c r="I35" s="7"/>
      <c r="J35" s="7"/>
      <c r="K35" s="3"/>
    </row>
    <row r="36" spans="1:11">
      <c r="A36" s="9"/>
      <c r="B36" s="9"/>
      <c r="C36" s="267" t="s">
        <v>16</v>
      </c>
      <c r="D36" s="267"/>
      <c r="E36" s="267" t="s">
        <v>17</v>
      </c>
      <c r="F36" s="267"/>
      <c r="G36" s="241" t="s">
        <v>18</v>
      </c>
      <c r="H36" s="241" t="s">
        <v>19</v>
      </c>
      <c r="I36" s="7"/>
      <c r="J36" s="7"/>
      <c r="K36" s="3"/>
    </row>
    <row r="37" spans="1:11">
      <c r="A37" s="9"/>
      <c r="B37" s="9"/>
      <c r="C37" s="279" t="s">
        <v>20</v>
      </c>
      <c r="D37" s="279"/>
      <c r="E37" s="283">
        <v>0</v>
      </c>
      <c r="F37" s="283"/>
      <c r="G37" s="43">
        <f>+E37/E42</f>
        <v>0</v>
      </c>
      <c r="H37" s="45">
        <v>0</v>
      </c>
      <c r="I37" s="7"/>
      <c r="J37" s="7"/>
      <c r="K37" s="3"/>
    </row>
    <row r="38" spans="1:11">
      <c r="A38" s="9"/>
      <c r="B38" s="9"/>
      <c r="C38" s="266" t="s">
        <v>21</v>
      </c>
      <c r="D38" s="266"/>
      <c r="E38" s="269">
        <v>0</v>
      </c>
      <c r="F38" s="269"/>
      <c r="G38" s="43">
        <v>0</v>
      </c>
      <c r="H38" s="45">
        <v>0</v>
      </c>
      <c r="I38" s="7"/>
      <c r="J38" s="7"/>
      <c r="K38" s="3"/>
    </row>
    <row r="39" spans="1:11">
      <c r="A39" s="9"/>
      <c r="B39" s="9"/>
      <c r="C39" s="266" t="s">
        <v>53</v>
      </c>
      <c r="D39" s="266"/>
      <c r="E39" s="269">
        <f>F11+F12+F13+F15+F16</f>
        <v>174180</v>
      </c>
      <c r="F39" s="269"/>
      <c r="G39" s="43">
        <f>+E39/E42</f>
        <v>0.60422520553647618</v>
      </c>
      <c r="H39" s="45">
        <v>5</v>
      </c>
      <c r="I39" s="7"/>
      <c r="J39" s="7"/>
      <c r="K39" s="3"/>
    </row>
    <row r="40" spans="1:11">
      <c r="A40" s="9"/>
      <c r="B40" s="9"/>
      <c r="C40" s="266" t="s">
        <v>54</v>
      </c>
      <c r="D40" s="266"/>
      <c r="E40" s="269">
        <f>F14+F17</f>
        <v>114090</v>
      </c>
      <c r="F40" s="269"/>
      <c r="G40" s="43">
        <f>+E40/E42</f>
        <v>0.39577479446352376</v>
      </c>
      <c r="H40" s="45">
        <v>2</v>
      </c>
      <c r="I40" s="7"/>
      <c r="J40" s="7"/>
      <c r="K40" s="3"/>
    </row>
    <row r="41" spans="1:11">
      <c r="A41" s="9"/>
      <c r="B41" s="9"/>
      <c r="C41" s="266"/>
      <c r="D41" s="266"/>
      <c r="E41" s="269">
        <v>0</v>
      </c>
      <c r="F41" s="269"/>
      <c r="G41" s="43">
        <f>+E41/E42</f>
        <v>0</v>
      </c>
      <c r="H41" s="45">
        <v>0</v>
      </c>
      <c r="I41" s="7"/>
      <c r="J41" s="7"/>
      <c r="K41" s="3"/>
    </row>
    <row r="42" spans="1:11">
      <c r="A42" s="9"/>
      <c r="B42" s="9"/>
      <c r="C42" s="14"/>
      <c r="D42" s="238" t="s">
        <v>24</v>
      </c>
      <c r="E42" s="337">
        <f>SUM(E37:F41)</f>
        <v>288270</v>
      </c>
      <c r="F42" s="337"/>
      <c r="G42" s="44">
        <f>SUM(G37:G41)</f>
        <v>1</v>
      </c>
      <c r="H42" s="46">
        <f>SUM(H37:H41)</f>
        <v>7</v>
      </c>
      <c r="I42" s="7"/>
      <c r="J42" s="7"/>
      <c r="K42" s="3"/>
    </row>
    <row r="43" spans="1:11">
      <c r="A43" s="9"/>
      <c r="B43" s="9"/>
      <c r="C43" s="15"/>
      <c r="D43" s="15"/>
      <c r="E43" s="10"/>
      <c r="F43" s="10"/>
      <c r="G43" s="10"/>
      <c r="H43" s="7"/>
      <c r="I43" s="7"/>
      <c r="J43" s="7"/>
      <c r="K43" s="3"/>
    </row>
    <row r="44" spans="1:11">
      <c r="A44" s="9"/>
      <c r="B44" s="9"/>
      <c r="C44" s="7"/>
      <c r="D44" s="7"/>
      <c r="E44" s="12"/>
      <c r="F44" s="16"/>
      <c r="G44" s="17"/>
      <c r="H44" s="7"/>
      <c r="I44" s="7"/>
      <c r="J44" s="7"/>
      <c r="K44" s="3"/>
    </row>
    <row r="45" spans="1:11">
      <c r="A45" s="9"/>
      <c r="B45" s="9"/>
      <c r="C45" s="270" t="s">
        <v>7</v>
      </c>
      <c r="D45" s="271"/>
      <c r="E45" s="272"/>
      <c r="F45" s="273" t="s">
        <v>6</v>
      </c>
      <c r="G45" s="267"/>
      <c r="H45" s="241" t="s">
        <v>18</v>
      </c>
      <c r="I45" s="7"/>
      <c r="J45" s="7"/>
      <c r="K45" s="3"/>
    </row>
    <row r="46" spans="1:11">
      <c r="A46" s="9"/>
      <c r="B46" s="9"/>
      <c r="C46" s="266" t="s">
        <v>25</v>
      </c>
      <c r="D46" s="266"/>
      <c r="E46" s="266"/>
      <c r="F46" s="236"/>
      <c r="G46" s="236">
        <v>0</v>
      </c>
      <c r="H46" s="43">
        <f>+G46/F48</f>
        <v>0</v>
      </c>
      <c r="I46" s="7"/>
      <c r="J46" s="7"/>
      <c r="K46" s="3"/>
    </row>
    <row r="47" spans="1:11">
      <c r="A47" s="9"/>
      <c r="B47" s="9"/>
      <c r="C47" s="266" t="s">
        <v>26</v>
      </c>
      <c r="D47" s="266"/>
      <c r="E47" s="266"/>
      <c r="F47" s="236"/>
      <c r="G47" s="236">
        <f>F31</f>
        <v>288270</v>
      </c>
      <c r="H47" s="43">
        <f>+G47/F48</f>
        <v>1</v>
      </c>
      <c r="I47" s="7"/>
      <c r="J47" s="7"/>
      <c r="K47" s="3"/>
    </row>
    <row r="48" spans="1:11">
      <c r="A48" s="9"/>
      <c r="B48" s="9"/>
      <c r="C48" s="7"/>
      <c r="D48" s="7" t="s">
        <v>24</v>
      </c>
      <c r="E48" s="7"/>
      <c r="F48" s="277">
        <f>SUM(F46:G47)</f>
        <v>288270</v>
      </c>
      <c r="G48" s="277"/>
      <c r="H48" s="44">
        <f>SUM(H46:H47)</f>
        <v>1</v>
      </c>
      <c r="I48" s="7"/>
      <c r="J48" s="7"/>
      <c r="K48" s="3"/>
    </row>
    <row r="49" spans="1:11">
      <c r="A49" s="9"/>
      <c r="B49" s="9"/>
      <c r="C49" s="7"/>
      <c r="D49" s="7"/>
      <c r="E49" s="7"/>
      <c r="F49" s="47"/>
      <c r="G49" s="47"/>
      <c r="H49" s="49"/>
      <c r="I49" s="7"/>
      <c r="J49" s="7"/>
      <c r="K49" s="3"/>
    </row>
    <row r="50" spans="1:11">
      <c r="A50" s="9"/>
      <c r="B50" s="9"/>
      <c r="C50" s="7"/>
      <c r="D50" s="3"/>
      <c r="E50" s="3"/>
      <c r="F50" s="3"/>
      <c r="G50" s="3"/>
      <c r="H50" s="250"/>
      <c r="I50" s="7"/>
      <c r="J50" s="7"/>
      <c r="K50" s="3"/>
    </row>
    <row r="51" spans="1:11">
      <c r="A51" s="9"/>
      <c r="B51" s="9"/>
      <c r="C51" s="7"/>
      <c r="D51" s="3"/>
      <c r="E51" s="3"/>
      <c r="F51" s="3"/>
      <c r="G51" s="3"/>
      <c r="H51" s="50"/>
      <c r="I51" s="7"/>
      <c r="J51" s="7"/>
      <c r="K51" s="3"/>
    </row>
    <row r="52" spans="1:11">
      <c r="A52" s="9"/>
      <c r="B52" s="9"/>
      <c r="C52" s="7"/>
      <c r="D52" s="36"/>
      <c r="E52" s="37"/>
      <c r="F52" s="3"/>
      <c r="G52" s="3"/>
      <c r="H52" s="7"/>
      <c r="I52" s="7"/>
      <c r="J52" s="7"/>
      <c r="K52" s="3"/>
    </row>
    <row r="53" spans="1:11">
      <c r="A53" s="9"/>
      <c r="B53" s="9"/>
      <c r="C53" s="7"/>
      <c r="D53" s="3"/>
      <c r="E53" s="278" t="s">
        <v>27</v>
      </c>
      <c r="F53" s="278"/>
      <c r="G53" s="278"/>
      <c r="H53" s="278"/>
      <c r="I53" s="7"/>
      <c r="J53" s="7"/>
      <c r="K53" s="3"/>
    </row>
    <row r="54" spans="1:11">
      <c r="A54" s="9"/>
      <c r="B54" s="9"/>
      <c r="C54" s="7"/>
      <c r="D54" s="56"/>
      <c r="E54" s="7"/>
      <c r="F54" s="7"/>
      <c r="G54" s="7"/>
      <c r="H54" s="7"/>
      <c r="I54" s="7"/>
      <c r="J54" s="7"/>
      <c r="K54" s="3"/>
    </row>
    <row r="55" spans="1:11">
      <c r="A55" s="7"/>
      <c r="B55" s="7"/>
      <c r="C55" s="7"/>
      <c r="D55" s="55" t="s">
        <v>28</v>
      </c>
      <c r="E55" s="275">
        <v>2020</v>
      </c>
      <c r="F55" s="276"/>
      <c r="G55" s="275">
        <v>2021</v>
      </c>
      <c r="H55" s="276"/>
      <c r="I55" s="7"/>
      <c r="J55" s="7"/>
      <c r="K55" s="3"/>
    </row>
    <row r="56" spans="1:11">
      <c r="A56" s="7"/>
      <c r="B56" s="7"/>
      <c r="C56" s="7"/>
      <c r="D56" s="54" t="s">
        <v>29</v>
      </c>
      <c r="E56" s="51" t="s">
        <v>30</v>
      </c>
      <c r="F56" s="51" t="s">
        <v>31</v>
      </c>
      <c r="G56" s="51" t="s">
        <v>30</v>
      </c>
      <c r="H56" s="51" t="s">
        <v>31</v>
      </c>
      <c r="I56" s="7"/>
      <c r="J56" s="7"/>
      <c r="K56" s="3"/>
    </row>
    <row r="57" spans="1:11">
      <c r="A57" s="7"/>
      <c r="B57" s="7"/>
      <c r="C57" s="7"/>
      <c r="D57" s="52"/>
      <c r="E57" s="28"/>
      <c r="F57" s="96"/>
      <c r="G57" s="28"/>
      <c r="H57" s="29"/>
      <c r="I57" s="7"/>
      <c r="J57" s="7"/>
      <c r="K57" s="3"/>
    </row>
    <row r="58" spans="1:11">
      <c r="A58" s="7"/>
      <c r="B58" s="7"/>
      <c r="C58" s="7"/>
      <c r="D58" s="83" t="s">
        <v>32</v>
      </c>
      <c r="E58" s="84">
        <f>'JUN 2021'!E58</f>
        <v>417.84</v>
      </c>
      <c r="F58" s="177">
        <v>15</v>
      </c>
      <c r="G58" s="84">
        <f>'ENE 2021'!G46</f>
        <v>1008.93</v>
      </c>
      <c r="H58" s="85">
        <f>'ENE 2021'!H55</f>
        <v>32</v>
      </c>
      <c r="I58" s="7"/>
      <c r="J58" s="7"/>
      <c r="K58" s="3"/>
    </row>
    <row r="59" spans="1:11">
      <c r="A59" s="7"/>
      <c r="B59" s="7"/>
      <c r="C59" s="7"/>
      <c r="D59" s="86" t="s">
        <v>38</v>
      </c>
      <c r="E59" s="31">
        <f>'JUN 2021'!E59</f>
        <v>591.57000000000005</v>
      </c>
      <c r="F59" s="178">
        <v>22</v>
      </c>
      <c r="G59" s="31">
        <f>'FEB 2021'!G48</f>
        <v>719.82</v>
      </c>
      <c r="H59" s="32">
        <f>'FEB 2021'!H57</f>
        <v>25</v>
      </c>
      <c r="I59" s="7"/>
      <c r="J59" s="7"/>
      <c r="K59" s="3"/>
    </row>
    <row r="60" spans="1:11">
      <c r="A60" s="7"/>
      <c r="B60" s="7"/>
      <c r="C60" s="7"/>
      <c r="D60" s="88" t="s">
        <v>40</v>
      </c>
      <c r="E60" s="31">
        <f>'MAR 2021'!E66</f>
        <v>408.24</v>
      </c>
      <c r="F60" s="178">
        <v>13</v>
      </c>
      <c r="G60" s="31">
        <f>'MAR 2021'!G43</f>
        <v>815.73</v>
      </c>
      <c r="H60" s="32">
        <f>'MAR 2021'!H51</f>
        <v>26</v>
      </c>
      <c r="I60" s="7"/>
      <c r="J60" s="7"/>
      <c r="K60" s="3"/>
    </row>
    <row r="61" spans="1:11">
      <c r="A61" s="7"/>
      <c r="B61" s="7"/>
      <c r="C61" s="7"/>
      <c r="D61" s="88" t="s">
        <v>43</v>
      </c>
      <c r="E61" s="31">
        <f>'ABR 2021'!E66</f>
        <v>188.13</v>
      </c>
      <c r="F61" s="178">
        <v>6</v>
      </c>
      <c r="G61" s="36">
        <f>'ABR 2021'!G41</f>
        <v>323.73</v>
      </c>
      <c r="H61" s="32">
        <f>'ABR 2021'!H50</f>
        <v>11</v>
      </c>
      <c r="I61" s="7"/>
      <c r="J61" s="7"/>
      <c r="K61" s="3"/>
    </row>
    <row r="62" spans="1:11">
      <c r="A62" s="7"/>
      <c r="B62" s="7"/>
      <c r="C62" s="7"/>
      <c r="D62" s="86" t="s">
        <v>45</v>
      </c>
      <c r="E62" s="31">
        <f>'MAY 2021'!E68</f>
        <v>279.93</v>
      </c>
      <c r="F62" s="178">
        <v>8</v>
      </c>
      <c r="G62" s="31">
        <f>'MAY 2021'!G44</f>
        <v>142.35</v>
      </c>
      <c r="H62" s="32">
        <f>'MAY 2021'!H52</f>
        <v>6</v>
      </c>
      <c r="I62" s="7"/>
      <c r="J62" s="7"/>
      <c r="K62" s="3"/>
    </row>
    <row r="63" spans="1:11">
      <c r="A63" s="7"/>
      <c r="B63" s="7"/>
      <c r="C63" s="7"/>
      <c r="D63" s="88" t="s">
        <v>47</v>
      </c>
      <c r="E63" s="31">
        <f>'JUN 2021'!E63</f>
        <v>202.08</v>
      </c>
      <c r="F63" s="178">
        <v>7</v>
      </c>
      <c r="G63" s="36">
        <f>'JUN 2021'!G33</f>
        <v>189.81</v>
      </c>
      <c r="H63" s="32">
        <f>'JUN 2021'!H42</f>
        <v>6</v>
      </c>
      <c r="I63" s="7"/>
      <c r="J63" s="7"/>
      <c r="K63" s="3"/>
    </row>
    <row r="64" spans="1:11">
      <c r="A64" s="7"/>
      <c r="B64" s="7"/>
      <c r="C64" s="7"/>
      <c r="D64" s="87" t="s">
        <v>55</v>
      </c>
      <c r="E64" s="34">
        <v>178.92</v>
      </c>
      <c r="F64" s="180">
        <v>6</v>
      </c>
      <c r="G64" s="89">
        <f>G33</f>
        <v>288.27</v>
      </c>
      <c r="H64" s="35">
        <f>H42</f>
        <v>7</v>
      </c>
      <c r="I64" s="7"/>
      <c r="J64" s="7"/>
      <c r="K64" s="3"/>
    </row>
    <row r="65" spans="1:11">
      <c r="A65" s="7"/>
      <c r="B65" s="7"/>
      <c r="C65" s="7"/>
      <c r="D65" s="7"/>
      <c r="E65" s="7"/>
      <c r="F65" s="7"/>
      <c r="G65" s="7"/>
      <c r="H65" s="7"/>
      <c r="I65" s="7"/>
      <c r="J65" s="7"/>
      <c r="K65" s="3"/>
    </row>
    <row r="66" spans="1:11">
      <c r="A66" s="7"/>
      <c r="B66" s="7"/>
      <c r="C66" s="7"/>
      <c r="D66" s="7"/>
      <c r="E66" s="58">
        <f>SUM(E58:E65)</f>
        <v>2266.7100000000005</v>
      </c>
      <c r="F66" s="59">
        <f>SUM(F58:F65)</f>
        <v>77</v>
      </c>
      <c r="G66" s="58">
        <f>SUM(G58:G64)</f>
        <v>3488.64</v>
      </c>
      <c r="H66" s="59">
        <f>SUM(H58:H64)</f>
        <v>113</v>
      </c>
      <c r="I66" s="7"/>
      <c r="J66" s="7"/>
      <c r="K66" s="3"/>
    </row>
    <row r="67" spans="1:11">
      <c r="A67" s="7"/>
      <c r="B67" s="7"/>
      <c r="C67" s="7"/>
      <c r="D67" s="7"/>
      <c r="E67" s="7"/>
      <c r="F67" s="7"/>
      <c r="G67" s="7"/>
      <c r="H67" s="7"/>
      <c r="I67" s="7"/>
      <c r="J67" s="7"/>
    </row>
    <row r="68" spans="1:11">
      <c r="A68" s="7"/>
      <c r="B68" s="7"/>
      <c r="C68" s="7"/>
      <c r="D68" s="7"/>
      <c r="E68" s="7"/>
      <c r="F68" s="7"/>
      <c r="G68" s="7"/>
      <c r="H68" s="7"/>
      <c r="I68" s="7"/>
      <c r="J68" s="7"/>
    </row>
    <row r="69" spans="1:11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1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1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1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1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1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1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1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1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1">
      <c r="A78" s="3"/>
      <c r="B78" s="3"/>
      <c r="C78" s="3"/>
      <c r="D78" s="3"/>
      <c r="E78" s="3"/>
      <c r="F78" s="3"/>
      <c r="G78" s="3"/>
      <c r="H78" s="57"/>
      <c r="I78" s="3"/>
      <c r="J78" s="3"/>
    </row>
    <row r="79" spans="1:11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1">
      <c r="A80" s="3"/>
      <c r="B80" s="3"/>
      <c r="C80" s="3"/>
      <c r="D80" s="3"/>
      <c r="E80" s="3"/>
      <c r="F80" s="3"/>
      <c r="G80" s="3"/>
      <c r="H80" s="3"/>
      <c r="I80" s="3"/>
      <c r="J80" s="3"/>
    </row>
    <row r="145" spans="3:3">
      <c r="C145">
        <v>9142.18</v>
      </c>
    </row>
  </sheetData>
  <mergeCells count="84">
    <mergeCell ref="E7:H7"/>
    <mergeCell ref="H11:J11"/>
    <mergeCell ref="D26:E26"/>
    <mergeCell ref="F26:G26"/>
    <mergeCell ref="H26:J26"/>
    <mergeCell ref="D17:E17"/>
    <mergeCell ref="F17:G17"/>
    <mergeCell ref="H17:J17"/>
    <mergeCell ref="D19:E19"/>
    <mergeCell ref="F19:G19"/>
    <mergeCell ref="H19:J19"/>
    <mergeCell ref="F23:G23"/>
    <mergeCell ref="H14:J14"/>
    <mergeCell ref="D18:E18"/>
    <mergeCell ref="F18:G18"/>
    <mergeCell ref="H18:J18"/>
    <mergeCell ref="D27:E27"/>
    <mergeCell ref="F27:G27"/>
    <mergeCell ref="H27:J27"/>
    <mergeCell ref="D21:E21"/>
    <mergeCell ref="F22:G22"/>
    <mergeCell ref="H22:J22"/>
    <mergeCell ref="D25:E25"/>
    <mergeCell ref="F25:G25"/>
    <mergeCell ref="H25:J25"/>
    <mergeCell ref="D23:E23"/>
    <mergeCell ref="E53:H53"/>
    <mergeCell ref="C41:D41"/>
    <mergeCell ref="E41:F41"/>
    <mergeCell ref="E42:F42"/>
    <mergeCell ref="C45:E45"/>
    <mergeCell ref="F45:G45"/>
    <mergeCell ref="C46:E46"/>
    <mergeCell ref="F48:G48"/>
    <mergeCell ref="F28:G28"/>
    <mergeCell ref="E37:F37"/>
    <mergeCell ref="C47:E47"/>
    <mergeCell ref="C40:D40"/>
    <mergeCell ref="E40:F40"/>
    <mergeCell ref="C39:D39"/>
    <mergeCell ref="C38:D38"/>
    <mergeCell ref="E38:F38"/>
    <mergeCell ref="E39:F39"/>
    <mergeCell ref="C36:D36"/>
    <mergeCell ref="D29:E29"/>
    <mergeCell ref="F29:G29"/>
    <mergeCell ref="D20:E20"/>
    <mergeCell ref="F20:G20"/>
    <mergeCell ref="H20:J20"/>
    <mergeCell ref="H13:J13"/>
    <mergeCell ref="H16:J16"/>
    <mergeCell ref="D14:E14"/>
    <mergeCell ref="F14:G14"/>
    <mergeCell ref="D16:E16"/>
    <mergeCell ref="F16:G16"/>
    <mergeCell ref="D10:E10"/>
    <mergeCell ref="F10:G10"/>
    <mergeCell ref="H10:J10"/>
    <mergeCell ref="D15:E15"/>
    <mergeCell ref="F15:G15"/>
    <mergeCell ref="H15:J15"/>
    <mergeCell ref="H12:J12"/>
    <mergeCell ref="D13:E13"/>
    <mergeCell ref="F13:G13"/>
    <mergeCell ref="F11:G11"/>
    <mergeCell ref="D11:E11"/>
    <mergeCell ref="D12:E12"/>
    <mergeCell ref="F12:G12"/>
    <mergeCell ref="E55:F55"/>
    <mergeCell ref="G55:H55"/>
    <mergeCell ref="F21:G21"/>
    <mergeCell ref="H21:J21"/>
    <mergeCell ref="D33:E33"/>
    <mergeCell ref="D24:E24"/>
    <mergeCell ref="F24:G24"/>
    <mergeCell ref="H24:J24"/>
    <mergeCell ref="D22:E22"/>
    <mergeCell ref="H23:J23"/>
    <mergeCell ref="H28:J28"/>
    <mergeCell ref="E36:F36"/>
    <mergeCell ref="H29:J29"/>
    <mergeCell ref="F31:G31"/>
    <mergeCell ref="C37:D37"/>
    <mergeCell ref="D28:E28"/>
  </mergeCells>
  <phoneticPr fontId="0" type="noConversion"/>
  <pageMargins left="0.59055118110236227" right="0.75" top="1" bottom="1" header="0" footer="0"/>
  <pageSetup paperSize="9" scale="75" orientation="portrait" horizontalDpi="4294967293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PATAGONIA NORTE S.A.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Fabiana Sar</dc:creator>
  <cp:keywords/>
  <dc:description/>
  <cp:lastModifiedBy/>
  <cp:revision/>
  <dcterms:created xsi:type="dcterms:W3CDTF">2000-02-12T15:57:40Z</dcterms:created>
  <dcterms:modified xsi:type="dcterms:W3CDTF">2022-01-03T12:59:26Z</dcterms:modified>
  <cp:category/>
  <cp:contentStatus/>
</cp:coreProperties>
</file>