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drawings/drawing16.xml" ContentType="application/vnd.openxmlformats-officedocument.drawingml.chartshapes+xml"/>
  <Override PartName="/xl/charts/chart2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26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falcarraz_patagonia-norte_com_ar/Documents/Documentos/Archivos Laburo Administ/Pesca/Estad/"/>
    </mc:Choice>
  </mc:AlternateContent>
  <xr:revisionPtr revIDLastSave="576" documentId="13_ncr:1_{E25D26BC-1EB1-49CF-9B89-62A6E67826A0}" xr6:coauthVersionLast="47" xr6:coauthVersionMax="47" xr10:uidLastSave="{24BA9C35-A779-4479-BCAF-C841C29F98EF}"/>
  <bookViews>
    <workbookView xWindow="-120" yWindow="-120" windowWidth="29040" windowHeight="15840" tabRatio="735" firstSheet="15" activeTab="15" xr2:uid="{00000000-000D-0000-FFFF-FFFF00000000}"/>
  </bookViews>
  <sheets>
    <sheet name="CARÁT" sheetId="18" r:id="rId1"/>
    <sheet name="ENE" sheetId="4" r:id="rId2"/>
    <sheet name="FEB" sheetId="16" r:id="rId3"/>
    <sheet name="MAR" sheetId="15" r:id="rId4"/>
    <sheet name="ABR" sheetId="14" r:id="rId5"/>
    <sheet name="MAY" sheetId="13" r:id="rId6"/>
    <sheet name="JUN" sheetId="12" r:id="rId7"/>
    <sheet name="1º SEM" sheetId="11" r:id="rId8"/>
    <sheet name="JUL" sheetId="10" r:id="rId9"/>
    <sheet name="AGO" sheetId="9" r:id="rId10"/>
    <sheet name="SEP" sheetId="8" r:id="rId11"/>
    <sheet name="OCT" sheetId="7" r:id="rId12"/>
    <sheet name="NOV" sheetId="22" r:id="rId13"/>
    <sheet name="DIC" sheetId="19" r:id="rId14"/>
    <sheet name="Comparativo" sheetId="20" r:id="rId15"/>
    <sheet name="Mov X buque" sheetId="21" r:id="rId16"/>
  </sheets>
  <definedNames>
    <definedName name="_xlnm._FilterDatabase" localSheetId="1" hidden="1">ENE!$A$1:$J$83</definedName>
    <definedName name="_xlnm._FilterDatabase" localSheetId="2" hidden="1">FEB!$A$1:$J$88</definedName>
    <definedName name="_xlnm._FilterDatabase" localSheetId="10" hidden="1">SEP!$B$1:$B$95</definedName>
    <definedName name="_xlnm.Print_Area" localSheetId="4">ABR!$A$1:$J$74</definedName>
    <definedName name="_xlnm.Print_Area" localSheetId="9">AGO!$A$1:$J$72</definedName>
    <definedName name="_xlnm.Print_Area" localSheetId="14">Comparativo!$A$1:$BD$195</definedName>
    <definedName name="_xlnm.Print_Area" localSheetId="13">DIC!$A$1:$J$88</definedName>
    <definedName name="_xlnm.Print_Area" localSheetId="1">ENE!$A$1:$J$76</definedName>
    <definedName name="_xlnm.Print_Area" localSheetId="2">FEB!$A$1:$J$82</definedName>
    <definedName name="_xlnm.Print_Area" localSheetId="8">JUL!$A$1:$J$73</definedName>
    <definedName name="_xlnm.Print_Area" localSheetId="6">JUN!$A$1:$J$71</definedName>
    <definedName name="_xlnm.Print_Area" localSheetId="3">MAR!$A$1:$J$74</definedName>
    <definedName name="_xlnm.Print_Area" localSheetId="5">MAY!$A$1:$J$77</definedName>
    <definedName name="_xlnm.Print_Area" localSheetId="15">'Mov X buque'!$A$1:$O$73</definedName>
    <definedName name="_xlnm.Print_Area" localSheetId="12">NOV!$A$1:$J$84</definedName>
    <definedName name="_xlnm.Print_Area" localSheetId="11">OCT!$A$1:$J$86</definedName>
    <definedName name="_xlnm.Print_Area" localSheetId="10">SEP!$A$1:$J$90</definedName>
    <definedName name="_xlnm.Print_Titles" localSheetId="14">Comparativo!$1:$8</definedName>
    <definedName name="_xlnm.Print_Titles" localSheetId="8">JUL!$1:$7</definedName>
    <definedName name="_xlnm.Print_Titles" localSheetId="11">OCT!$1:$9</definedName>
    <definedName name="_xlnm.Print_Titles" localSheetId="10">SEP!$1:$9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9" l="1"/>
  <c r="E46" i="19"/>
  <c r="E46" i="22"/>
  <c r="E49" i="22"/>
  <c r="E47" i="7"/>
  <c r="E51" i="8"/>
  <c r="J7" i="21"/>
  <c r="E48" i="8"/>
  <c r="F42" i="9"/>
  <c r="E49" i="13"/>
  <c r="I11" i="21"/>
  <c r="H11" i="21"/>
  <c r="F11" i="21"/>
  <c r="E11" i="21"/>
  <c r="D11" i="21"/>
  <c r="C11" i="21"/>
  <c r="E47" i="14"/>
  <c r="E49" i="14"/>
  <c r="E48" i="14"/>
  <c r="E46" i="14"/>
  <c r="E45" i="14"/>
  <c r="I7" i="21"/>
  <c r="H7" i="21"/>
  <c r="E7" i="21"/>
  <c r="D7" i="21"/>
  <c r="C7" i="21"/>
  <c r="E49" i="15"/>
  <c r="E47" i="15"/>
  <c r="E48" i="15"/>
  <c r="E54" i="16"/>
  <c r="E53" i="16"/>
  <c r="E50" i="4"/>
  <c r="AZ19" i="20"/>
  <c r="AX19" i="20"/>
  <c r="AV19" i="20"/>
  <c r="AT19" i="20"/>
  <c r="AR19" i="20"/>
  <c r="AP19" i="20"/>
  <c r="AN19" i="20"/>
  <c r="AY19" i="20"/>
  <c r="AW19" i="20"/>
  <c r="AU19" i="20"/>
  <c r="AS19" i="20"/>
  <c r="AQ19" i="20"/>
  <c r="AO19" i="20"/>
  <c r="AM19" i="20"/>
  <c r="F78" i="19"/>
  <c r="F77" i="19"/>
  <c r="F76" i="19"/>
  <c r="F75" i="19"/>
  <c r="F74" i="19"/>
  <c r="F73" i="19"/>
  <c r="F72" i="19"/>
  <c r="F71" i="19"/>
  <c r="F70" i="19"/>
  <c r="F69" i="19"/>
  <c r="F68" i="19"/>
  <c r="F67" i="19"/>
  <c r="E78" i="19"/>
  <c r="E77" i="19"/>
  <c r="E76" i="19"/>
  <c r="E75" i="19"/>
  <c r="E74" i="19"/>
  <c r="E73" i="19"/>
  <c r="E72" i="19"/>
  <c r="E71" i="19"/>
  <c r="E70" i="19"/>
  <c r="E69" i="19"/>
  <c r="E68" i="19"/>
  <c r="E67" i="19"/>
  <c r="F76" i="22"/>
  <c r="F75" i="22"/>
  <c r="F74" i="22"/>
  <c r="F73" i="22"/>
  <c r="F72" i="22"/>
  <c r="F71" i="22"/>
  <c r="F70" i="22"/>
  <c r="F69" i="22"/>
  <c r="F68" i="22"/>
  <c r="F67" i="22"/>
  <c r="F66" i="22"/>
  <c r="E76" i="22"/>
  <c r="E75" i="22"/>
  <c r="E74" i="22"/>
  <c r="E73" i="22"/>
  <c r="E72" i="22"/>
  <c r="E71" i="22"/>
  <c r="E70" i="22"/>
  <c r="E69" i="22"/>
  <c r="E68" i="22"/>
  <c r="E67" i="22"/>
  <c r="E66" i="22"/>
  <c r="F77" i="7"/>
  <c r="F76" i="7"/>
  <c r="F75" i="7"/>
  <c r="F74" i="7"/>
  <c r="F73" i="7"/>
  <c r="F72" i="7"/>
  <c r="F71" i="7"/>
  <c r="F70" i="7"/>
  <c r="F69" i="7"/>
  <c r="F68" i="7"/>
  <c r="E77" i="7"/>
  <c r="E76" i="7"/>
  <c r="E75" i="7"/>
  <c r="E74" i="7"/>
  <c r="E73" i="7"/>
  <c r="E72" i="7"/>
  <c r="E71" i="7"/>
  <c r="E70" i="7"/>
  <c r="E69" i="7"/>
  <c r="E68" i="7"/>
  <c r="F79" i="8"/>
  <c r="F78" i="8"/>
  <c r="F77" i="8"/>
  <c r="F76" i="8"/>
  <c r="F75" i="8"/>
  <c r="F74" i="8"/>
  <c r="F73" i="8"/>
  <c r="F72" i="8"/>
  <c r="F71" i="8"/>
  <c r="E79" i="8"/>
  <c r="E78" i="8"/>
  <c r="E77" i="8"/>
  <c r="E76" i="8"/>
  <c r="E75" i="8"/>
  <c r="E74" i="8"/>
  <c r="E73" i="8"/>
  <c r="E72" i="8"/>
  <c r="E71" i="8"/>
  <c r="F65" i="9"/>
  <c r="F64" i="9"/>
  <c r="F63" i="9"/>
  <c r="F62" i="9"/>
  <c r="F61" i="9"/>
  <c r="F60" i="9"/>
  <c r="F59" i="9"/>
  <c r="F58" i="9"/>
  <c r="E65" i="9"/>
  <c r="E64" i="9"/>
  <c r="E63" i="9"/>
  <c r="E62" i="9"/>
  <c r="E61" i="9"/>
  <c r="E60" i="9"/>
  <c r="E59" i="9"/>
  <c r="E58" i="9"/>
  <c r="F63" i="10"/>
  <c r="F62" i="10"/>
  <c r="F61" i="10"/>
  <c r="F60" i="10"/>
  <c r="F59" i="10"/>
  <c r="F58" i="10"/>
  <c r="F57" i="10"/>
  <c r="E63" i="10"/>
  <c r="E62" i="10"/>
  <c r="E61" i="10"/>
  <c r="E60" i="10"/>
  <c r="E59" i="10"/>
  <c r="E58" i="10"/>
  <c r="E57" i="10"/>
  <c r="F62" i="12"/>
  <c r="F61" i="12"/>
  <c r="F60" i="12"/>
  <c r="F59" i="12"/>
  <c r="F58" i="12"/>
  <c r="F57" i="12"/>
  <c r="E62" i="12"/>
  <c r="E61" i="12"/>
  <c r="E60" i="12"/>
  <c r="E59" i="12"/>
  <c r="E58" i="12"/>
  <c r="E57" i="12"/>
  <c r="F67" i="13"/>
  <c r="F66" i="13"/>
  <c r="F65" i="13"/>
  <c r="F64" i="13"/>
  <c r="F63" i="13"/>
  <c r="E67" i="13"/>
  <c r="E66" i="13"/>
  <c r="E65" i="13"/>
  <c r="E64" i="13"/>
  <c r="E63" i="13"/>
  <c r="F65" i="14"/>
  <c r="F64" i="14"/>
  <c r="F63" i="14"/>
  <c r="F62" i="14"/>
  <c r="E65" i="14"/>
  <c r="E64" i="14"/>
  <c r="E63" i="14"/>
  <c r="E62" i="14"/>
  <c r="F65" i="15"/>
  <c r="F64" i="15"/>
  <c r="F63" i="15"/>
  <c r="E65" i="15"/>
  <c r="E64" i="15"/>
  <c r="E63" i="15"/>
  <c r="F72" i="16"/>
  <c r="E72" i="16"/>
  <c r="F71" i="16"/>
  <c r="E71" i="16"/>
  <c r="F67" i="4"/>
  <c r="E67" i="4"/>
  <c r="AY27" i="20"/>
  <c r="AZ27" i="20"/>
  <c r="C20" i="21"/>
  <c r="C10" i="21"/>
  <c r="C22" i="21"/>
  <c r="C26" i="21"/>
  <c r="C25" i="21"/>
  <c r="E40" i="10"/>
  <c r="I40" i="10" s="1"/>
  <c r="E38" i="10"/>
  <c r="I38" i="10" s="1"/>
  <c r="C17" i="21"/>
  <c r="E41" i="10"/>
  <c r="I41" i="10" s="1"/>
  <c r="C16" i="21"/>
  <c r="C47" i="21" s="1"/>
  <c r="C24" i="21"/>
  <c r="E38" i="12"/>
  <c r="J38" i="12" s="1"/>
  <c r="C9" i="21"/>
  <c r="C28" i="21"/>
  <c r="C27" i="21"/>
  <c r="C21" i="21"/>
  <c r="C18" i="21"/>
  <c r="C5" i="21"/>
  <c r="F41" i="15"/>
  <c r="AS27" i="20"/>
  <c r="F44" i="4"/>
  <c r="H85" i="20" l="1"/>
  <c r="E17" i="21"/>
  <c r="G50" i="4"/>
  <c r="E24" i="21"/>
  <c r="E26" i="21"/>
  <c r="E22" i="21"/>
  <c r="E10" i="21"/>
  <c r="E15" i="21"/>
  <c r="E9" i="21"/>
  <c r="E25" i="21"/>
  <c r="F55" i="15"/>
  <c r="E12" i="21"/>
  <c r="G46" i="4"/>
  <c r="G67" i="4" s="1"/>
  <c r="BA13" i="20" s="1"/>
  <c r="F60" i="4"/>
  <c r="F67" i="9"/>
  <c r="BC13" i="20" l="1"/>
  <c r="G57" i="10"/>
  <c r="J57" i="10" s="1"/>
  <c r="K57" i="10" s="1"/>
  <c r="G58" i="9"/>
  <c r="G68" i="7"/>
  <c r="G62" i="14"/>
  <c r="G57" i="12"/>
  <c r="G71" i="8"/>
  <c r="G67" i="19"/>
  <c r="G71" i="16"/>
  <c r="G63" i="15"/>
  <c r="G66" i="22"/>
  <c r="G63" i="13"/>
  <c r="F69" i="4"/>
  <c r="E69" i="4"/>
  <c r="E74" i="16"/>
  <c r="C16" i="11"/>
  <c r="E16" i="11" s="1"/>
  <c r="AW27" i="20"/>
  <c r="C66" i="20" s="1"/>
  <c r="AX27" i="20"/>
  <c r="AX29" i="20" s="1"/>
  <c r="AU27" i="20"/>
  <c r="AV27" i="20"/>
  <c r="AV29" i="20" s="1"/>
  <c r="E42" i="10"/>
  <c r="G38" i="10" s="1"/>
  <c r="E51" i="15"/>
  <c r="C38" i="21"/>
  <c r="C19" i="21"/>
  <c r="C21" i="11"/>
  <c r="C20" i="11"/>
  <c r="C19" i="11"/>
  <c r="C18" i="11"/>
  <c r="C17" i="11"/>
  <c r="E67" i="14"/>
  <c r="E67" i="15"/>
  <c r="E53" i="8"/>
  <c r="G50" i="8" s="1"/>
  <c r="F34" i="9"/>
  <c r="F46" i="16"/>
  <c r="C39" i="21"/>
  <c r="G48" i="15"/>
  <c r="AT27" i="20"/>
  <c r="AT29" i="20" s="1"/>
  <c r="J7" i="19"/>
  <c r="J7" i="22"/>
  <c r="J7" i="7"/>
  <c r="J7" i="8"/>
  <c r="J7" i="9"/>
  <c r="J7" i="10"/>
  <c r="J7" i="12"/>
  <c r="J7" i="13"/>
  <c r="J7" i="14"/>
  <c r="J7" i="15"/>
  <c r="J7" i="16"/>
  <c r="J7" i="4"/>
  <c r="N14" i="21"/>
  <c r="C6" i="21"/>
  <c r="C8" i="21"/>
  <c r="C37" i="21" s="1"/>
  <c r="C12" i="21"/>
  <c r="C13" i="21"/>
  <c r="C14" i="21"/>
  <c r="C48" i="21" s="1"/>
  <c r="C15" i="21"/>
  <c r="C23" i="21"/>
  <c r="C46" i="21" s="1"/>
  <c r="C29" i="21"/>
  <c r="C36" i="21" s="1"/>
  <c r="C30" i="21"/>
  <c r="C13" i="20"/>
  <c r="E13" i="20"/>
  <c r="G13" i="20"/>
  <c r="I13" i="20"/>
  <c r="C14" i="20"/>
  <c r="E14" i="20"/>
  <c r="G14" i="20"/>
  <c r="I14" i="20"/>
  <c r="C15" i="20"/>
  <c r="E15" i="20"/>
  <c r="G15" i="20"/>
  <c r="I15" i="20"/>
  <c r="C16" i="20"/>
  <c r="E16" i="20"/>
  <c r="G16" i="20"/>
  <c r="I16" i="20"/>
  <c r="C17" i="20"/>
  <c r="E17" i="20"/>
  <c r="G17" i="20"/>
  <c r="I17" i="20"/>
  <c r="C18" i="20"/>
  <c r="E18" i="20"/>
  <c r="G18" i="20"/>
  <c r="I18" i="20"/>
  <c r="D19" i="20"/>
  <c r="F19" i="20"/>
  <c r="H19" i="20"/>
  <c r="J19" i="20"/>
  <c r="K19" i="20"/>
  <c r="L19" i="20"/>
  <c r="M19" i="20"/>
  <c r="N19" i="20"/>
  <c r="O19" i="20"/>
  <c r="P19" i="20"/>
  <c r="S19" i="20"/>
  <c r="T19" i="20"/>
  <c r="U19" i="20"/>
  <c r="V19" i="20"/>
  <c r="W19" i="20"/>
  <c r="X19" i="20"/>
  <c r="Y19" i="20"/>
  <c r="Z19" i="20"/>
  <c r="AA19" i="20"/>
  <c r="AB19" i="20"/>
  <c r="AF19" i="20"/>
  <c r="AG19" i="20"/>
  <c r="AH19" i="20"/>
  <c r="AI19" i="20"/>
  <c r="AK19" i="20"/>
  <c r="AL19" i="20"/>
  <c r="C20" i="20"/>
  <c r="E20" i="20"/>
  <c r="G20" i="20"/>
  <c r="I20" i="20"/>
  <c r="C21" i="20"/>
  <c r="E21" i="20"/>
  <c r="G21" i="20"/>
  <c r="I21" i="20"/>
  <c r="C22" i="20"/>
  <c r="E22" i="20"/>
  <c r="G22" i="20"/>
  <c r="I22" i="20"/>
  <c r="C23" i="20"/>
  <c r="E23" i="20"/>
  <c r="G23" i="20"/>
  <c r="I23" i="20"/>
  <c r="C24" i="20"/>
  <c r="E24" i="20"/>
  <c r="G24" i="20"/>
  <c r="I24" i="20"/>
  <c r="C25" i="20"/>
  <c r="E25" i="20"/>
  <c r="G25" i="20"/>
  <c r="I25" i="20"/>
  <c r="K25" i="20"/>
  <c r="K27" i="20" s="1"/>
  <c r="C47" i="20" s="1"/>
  <c r="L25" i="20"/>
  <c r="L27" i="20" s="1"/>
  <c r="D27" i="20"/>
  <c r="F27" i="20"/>
  <c r="H27" i="20"/>
  <c r="J27" i="20"/>
  <c r="M27" i="20"/>
  <c r="C48" i="20" s="1"/>
  <c r="N27" i="20"/>
  <c r="O27" i="20"/>
  <c r="C49" i="20" s="1"/>
  <c r="P27" i="20"/>
  <c r="Q27" i="20"/>
  <c r="C50" i="20" s="1"/>
  <c r="R27" i="20"/>
  <c r="R29" i="20" s="1"/>
  <c r="S27" i="20"/>
  <c r="C51" i="20" s="1"/>
  <c r="T27" i="20"/>
  <c r="T29" i="20" s="1"/>
  <c r="U27" i="20"/>
  <c r="C52" i="20" s="1"/>
  <c r="V27" i="20"/>
  <c r="V29" i="20" s="1"/>
  <c r="W27" i="20"/>
  <c r="C53" i="20" s="1"/>
  <c r="X27" i="20"/>
  <c r="X29" i="20" s="1"/>
  <c r="Y27" i="20"/>
  <c r="C54" i="20" s="1"/>
  <c r="Z27" i="20"/>
  <c r="Z29" i="20" s="1"/>
  <c r="AA27" i="20"/>
  <c r="C55" i="20" s="1"/>
  <c r="AB27" i="20"/>
  <c r="AB29" i="20" s="1"/>
  <c r="AE27" i="20"/>
  <c r="C57" i="20" s="1"/>
  <c r="AF27" i="20"/>
  <c r="AF29" i="20" s="1"/>
  <c r="AG27" i="20"/>
  <c r="C58" i="20" s="1"/>
  <c r="AH27" i="20"/>
  <c r="AH29" i="20" s="1"/>
  <c r="AI27" i="20"/>
  <c r="C59" i="20" s="1"/>
  <c r="AJ27" i="20"/>
  <c r="AJ29" i="20" s="1"/>
  <c r="AK27" i="20"/>
  <c r="C60" i="20" s="1"/>
  <c r="AL27" i="20"/>
  <c r="AL29" i="20" s="1"/>
  <c r="AM27" i="20"/>
  <c r="AN27" i="20"/>
  <c r="AN29" i="20" s="1"/>
  <c r="AO27" i="20"/>
  <c r="C62" i="20" s="1"/>
  <c r="AP27" i="20"/>
  <c r="AP29" i="20" s="1"/>
  <c r="AR27" i="20"/>
  <c r="AR29" i="20" s="1"/>
  <c r="B43" i="20"/>
  <c r="B44" i="20"/>
  <c r="B45" i="20"/>
  <c r="B46" i="20"/>
  <c r="B47" i="20"/>
  <c r="B48" i="20"/>
  <c r="B49" i="20"/>
  <c r="B50" i="20"/>
  <c r="B51" i="20"/>
  <c r="B52" i="20"/>
  <c r="C56" i="20"/>
  <c r="G83" i="20"/>
  <c r="Q83" i="20" s="1"/>
  <c r="G84" i="20"/>
  <c r="K84" i="20" s="1"/>
  <c r="G85" i="20"/>
  <c r="K85" i="20" s="1"/>
  <c r="G86" i="20"/>
  <c r="K86" i="20" s="1"/>
  <c r="G87" i="20"/>
  <c r="K87" i="20" s="1"/>
  <c r="G88" i="20"/>
  <c r="K88" i="20" s="1"/>
  <c r="G89" i="20"/>
  <c r="K89" i="20" s="1"/>
  <c r="G90" i="20"/>
  <c r="K90" i="20" s="1"/>
  <c r="G91" i="20"/>
  <c r="K91" i="20" s="1"/>
  <c r="G92" i="20"/>
  <c r="K92" i="20" s="1"/>
  <c r="G93" i="20"/>
  <c r="K93" i="20" s="1"/>
  <c r="G94" i="20"/>
  <c r="K94" i="20" s="1"/>
  <c r="C96" i="20"/>
  <c r="D96" i="20"/>
  <c r="E96" i="20"/>
  <c r="F96" i="20"/>
  <c r="I96" i="20"/>
  <c r="J96" i="20"/>
  <c r="F39" i="19"/>
  <c r="H50" i="19"/>
  <c r="H78" i="19" s="1"/>
  <c r="BB25" i="20" s="1"/>
  <c r="F80" i="19"/>
  <c r="F39" i="22"/>
  <c r="E51" i="22"/>
  <c r="G45" i="22" s="1"/>
  <c r="H51" i="22"/>
  <c r="F78" i="22"/>
  <c r="F37" i="7"/>
  <c r="H49" i="7"/>
  <c r="F79" i="7"/>
  <c r="F41" i="8"/>
  <c r="H53" i="8"/>
  <c r="F81" i="8"/>
  <c r="H47" i="9"/>
  <c r="H65" i="9" s="1"/>
  <c r="BB21" i="20" s="1"/>
  <c r="F31" i="10"/>
  <c r="H42" i="10"/>
  <c r="H63" i="10"/>
  <c r="BB20" i="20" s="1"/>
  <c r="F65" i="10"/>
  <c r="F16" i="11"/>
  <c r="F17" i="11"/>
  <c r="F18" i="11"/>
  <c r="F19" i="11"/>
  <c r="F20" i="11"/>
  <c r="F21" i="11"/>
  <c r="F23" i="11"/>
  <c r="D23" i="11"/>
  <c r="D40" i="11"/>
  <c r="H40" i="11" s="1"/>
  <c r="H41" i="11" s="1"/>
  <c r="H42" i="11" s="1"/>
  <c r="F40" i="11"/>
  <c r="J40" i="11" s="1"/>
  <c r="D41" i="11"/>
  <c r="D42" i="11"/>
  <c r="D43" i="11"/>
  <c r="D44" i="11"/>
  <c r="D45" i="11"/>
  <c r="F31" i="12"/>
  <c r="E42" i="12"/>
  <c r="G38" i="12" s="1"/>
  <c r="H42" i="12"/>
  <c r="F64" i="12"/>
  <c r="F42" i="13"/>
  <c r="E52" i="13"/>
  <c r="G48" i="13" s="1"/>
  <c r="H52" i="13"/>
  <c r="F69" i="13"/>
  <c r="F39" i="14"/>
  <c r="F7" i="21" s="1"/>
  <c r="H50" i="14"/>
  <c r="F67" i="14"/>
  <c r="G50" i="15"/>
  <c r="H51" i="15"/>
  <c r="H18" i="11" s="1"/>
  <c r="F67" i="15"/>
  <c r="E57" i="16"/>
  <c r="G56" i="16" s="1"/>
  <c r="H57" i="16"/>
  <c r="H17" i="11" s="1"/>
  <c r="F74" i="16"/>
  <c r="H83" i="20"/>
  <c r="L83" i="20" s="1"/>
  <c r="E55" i="4"/>
  <c r="C31" i="21" s="1"/>
  <c r="H55" i="4"/>
  <c r="F61" i="4"/>
  <c r="H60" i="4" s="1"/>
  <c r="G43" i="15"/>
  <c r="E21" i="21"/>
  <c r="E16" i="21"/>
  <c r="E47" i="21" s="1"/>
  <c r="E27" i="21"/>
  <c r="E13" i="21"/>
  <c r="E8" i="21"/>
  <c r="E37" i="21" s="1"/>
  <c r="AQ27" i="20"/>
  <c r="G53" i="4"/>
  <c r="C64" i="20"/>
  <c r="H90" i="20"/>
  <c r="L90" i="20" s="1"/>
  <c r="M31" i="21"/>
  <c r="E6" i="21"/>
  <c r="E41" i="21" s="1"/>
  <c r="E14" i="21"/>
  <c r="E23" i="21"/>
  <c r="E46" i="21" s="1"/>
  <c r="E30" i="21"/>
  <c r="E5" i="21"/>
  <c r="E18" i="21"/>
  <c r="E39" i="21" s="1"/>
  <c r="E28" i="21"/>
  <c r="E20" i="21"/>
  <c r="D31" i="21"/>
  <c r="D16" i="21"/>
  <c r="D47" i="21" s="1"/>
  <c r="G69" i="4"/>
  <c r="G51" i="4"/>
  <c r="L5" i="21"/>
  <c r="L18" i="21"/>
  <c r="L39" i="21" s="1"/>
  <c r="G46" i="15"/>
  <c r="M16" i="21"/>
  <c r="G52" i="4"/>
  <c r="G54" i="4"/>
  <c r="E29" i="21"/>
  <c r="G49" i="15"/>
  <c r="G47" i="15"/>
  <c r="E50" i="14"/>
  <c r="G49" i="14" s="1"/>
  <c r="G40" i="12"/>
  <c r="G37" i="12"/>
  <c r="G41" i="12"/>
  <c r="F56" i="19" l="1"/>
  <c r="F57" i="22"/>
  <c r="M11" i="21"/>
  <c r="M7" i="21"/>
  <c r="F55" i="7"/>
  <c r="L7" i="21"/>
  <c r="L11" i="21"/>
  <c r="F59" i="8"/>
  <c r="G47" i="13"/>
  <c r="G7" i="21"/>
  <c r="G11" i="21"/>
  <c r="F42" i="21"/>
  <c r="I17" i="21"/>
  <c r="I25" i="21"/>
  <c r="I10" i="21"/>
  <c r="I22" i="21"/>
  <c r="I26" i="21"/>
  <c r="H89" i="20"/>
  <c r="L89" i="20" s="1"/>
  <c r="G48" i="12"/>
  <c r="H10" i="21"/>
  <c r="H22" i="21"/>
  <c r="H25" i="21"/>
  <c r="H17" i="21"/>
  <c r="H26" i="21"/>
  <c r="H24" i="21"/>
  <c r="G49" i="13"/>
  <c r="F56" i="13"/>
  <c r="G17" i="21"/>
  <c r="G22" i="21"/>
  <c r="G10" i="21"/>
  <c r="G24" i="21"/>
  <c r="G26" i="21"/>
  <c r="G25" i="21"/>
  <c r="F17" i="21"/>
  <c r="F26" i="21"/>
  <c r="F10" i="21"/>
  <c r="F24" i="21"/>
  <c r="F46" i="21" s="1"/>
  <c r="F22" i="21"/>
  <c r="F25" i="21"/>
  <c r="D18" i="21"/>
  <c r="D39" i="21" s="1"/>
  <c r="D9" i="21"/>
  <c r="D22" i="21"/>
  <c r="D25" i="21"/>
  <c r="D17" i="21"/>
  <c r="D24" i="21"/>
  <c r="D14" i="21"/>
  <c r="D5" i="21"/>
  <c r="D10" i="21"/>
  <c r="D26" i="21"/>
  <c r="D6" i="21"/>
  <c r="D8" i="21"/>
  <c r="D37" i="21" s="1"/>
  <c r="D15" i="21"/>
  <c r="D20" i="21"/>
  <c r="D23" i="21"/>
  <c r="D46" i="21" s="1"/>
  <c r="D12" i="21"/>
  <c r="G48" i="16"/>
  <c r="G69" i="7" s="1"/>
  <c r="H94" i="20"/>
  <c r="M28" i="21"/>
  <c r="M10" i="21"/>
  <c r="M21" i="21"/>
  <c r="M24" i="21"/>
  <c r="M9" i="21"/>
  <c r="M26" i="21"/>
  <c r="M22" i="21"/>
  <c r="M25" i="21"/>
  <c r="M17" i="21"/>
  <c r="M47" i="21" s="1"/>
  <c r="M15" i="21"/>
  <c r="L8" i="21"/>
  <c r="L10" i="21"/>
  <c r="L22" i="21"/>
  <c r="L26" i="21"/>
  <c r="L25" i="21"/>
  <c r="L17" i="21"/>
  <c r="L24" i="21"/>
  <c r="L9" i="21"/>
  <c r="L15" i="21"/>
  <c r="G51" i="9"/>
  <c r="G36" i="9"/>
  <c r="G73" i="22" s="1"/>
  <c r="I24" i="21"/>
  <c r="G47" i="10"/>
  <c r="F48" i="10" s="1"/>
  <c r="H46" i="10" s="1"/>
  <c r="I9" i="21"/>
  <c r="I15" i="21"/>
  <c r="H9" i="21"/>
  <c r="H15" i="21"/>
  <c r="G51" i="13"/>
  <c r="G31" i="21"/>
  <c r="G29" i="21"/>
  <c r="G50" i="13"/>
  <c r="G27" i="21"/>
  <c r="G9" i="21"/>
  <c r="G15" i="21"/>
  <c r="G44" i="13"/>
  <c r="G72" i="7" s="1"/>
  <c r="G23" i="21"/>
  <c r="G46" i="21" s="1"/>
  <c r="H87" i="20"/>
  <c r="L87" i="20" s="1"/>
  <c r="F15" i="21"/>
  <c r="F9" i="21"/>
  <c r="C40" i="21"/>
  <c r="C41" i="21"/>
  <c r="H86" i="20"/>
  <c r="L86" i="20" s="1"/>
  <c r="F55" i="14"/>
  <c r="F56" i="14" s="1"/>
  <c r="H54" i="14" s="1"/>
  <c r="F5" i="21"/>
  <c r="F29" i="21"/>
  <c r="G48" i="14"/>
  <c r="G47" i="14"/>
  <c r="F21" i="21"/>
  <c r="F6" i="21"/>
  <c r="F16" i="21"/>
  <c r="F47" i="21" s="1"/>
  <c r="G51" i="15"/>
  <c r="D13" i="21"/>
  <c r="D28" i="21"/>
  <c r="D19" i="21"/>
  <c r="D29" i="21"/>
  <c r="D36" i="21" s="1"/>
  <c r="D21" i="21"/>
  <c r="F63" i="16"/>
  <c r="G54" i="16"/>
  <c r="D30" i="21"/>
  <c r="D45" i="21" s="1"/>
  <c r="E48" i="21"/>
  <c r="C45" i="21"/>
  <c r="M27" i="21"/>
  <c r="M19" i="21"/>
  <c r="H93" i="20"/>
  <c r="H76" i="22"/>
  <c r="BB24" i="20" s="1"/>
  <c r="H77" i="19"/>
  <c r="L23" i="21"/>
  <c r="L13" i="21"/>
  <c r="L29" i="21"/>
  <c r="L30" i="21"/>
  <c r="L45" i="21" s="1"/>
  <c r="H92" i="20"/>
  <c r="L20" i="21"/>
  <c r="L44" i="21" s="1"/>
  <c r="H77" i="7"/>
  <c r="BB23" i="20" s="1"/>
  <c r="H76" i="19"/>
  <c r="H75" i="22"/>
  <c r="K30" i="21"/>
  <c r="K45" i="21" s="1"/>
  <c r="H91" i="20"/>
  <c r="H79" i="8"/>
  <c r="BB22" i="20" s="1"/>
  <c r="H75" i="19"/>
  <c r="H74" i="22"/>
  <c r="H76" i="7"/>
  <c r="H73" i="22"/>
  <c r="H75" i="7"/>
  <c r="H78" i="8"/>
  <c r="H74" i="19"/>
  <c r="H73" i="19"/>
  <c r="H72" i="22"/>
  <c r="H77" i="8"/>
  <c r="H64" i="9"/>
  <c r="H74" i="7"/>
  <c r="H71" i="22"/>
  <c r="H73" i="7"/>
  <c r="H76" i="8"/>
  <c r="H72" i="19"/>
  <c r="H63" i="9"/>
  <c r="H62" i="10"/>
  <c r="H62" i="12"/>
  <c r="BB18" i="20" s="1"/>
  <c r="H21" i="11"/>
  <c r="G16" i="21"/>
  <c r="G47" i="21" s="1"/>
  <c r="G18" i="21"/>
  <c r="G39" i="21" s="1"/>
  <c r="G14" i="21"/>
  <c r="G5" i="21"/>
  <c r="G28" i="21"/>
  <c r="G21" i="21"/>
  <c r="G8" i="21"/>
  <c r="G20" i="21"/>
  <c r="G19" i="21"/>
  <c r="G13" i="21"/>
  <c r="G6" i="21"/>
  <c r="G30" i="21"/>
  <c r="G12" i="21"/>
  <c r="H71" i="19"/>
  <c r="H70" i="22"/>
  <c r="H75" i="8"/>
  <c r="H62" i="9"/>
  <c r="H61" i="12"/>
  <c r="H72" i="7"/>
  <c r="H61" i="10"/>
  <c r="H20" i="11"/>
  <c r="H67" i="13"/>
  <c r="BB17" i="20" s="1"/>
  <c r="F28" i="21"/>
  <c r="F13" i="21"/>
  <c r="F20" i="21"/>
  <c r="F19" i="21"/>
  <c r="G41" i="14"/>
  <c r="F31" i="21"/>
  <c r="F14" i="21"/>
  <c r="F18" i="21"/>
  <c r="F39" i="21" s="1"/>
  <c r="F23" i="21"/>
  <c r="F12" i="21"/>
  <c r="F8" i="21"/>
  <c r="F37" i="21" s="1"/>
  <c r="F27" i="21"/>
  <c r="F30" i="21"/>
  <c r="H71" i="7"/>
  <c r="H74" i="8"/>
  <c r="H70" i="19"/>
  <c r="H61" i="9"/>
  <c r="H60" i="12"/>
  <c r="H69" i="22"/>
  <c r="H66" i="13"/>
  <c r="H60" i="10"/>
  <c r="H65" i="14"/>
  <c r="BB16" i="20" s="1"/>
  <c r="H19" i="11"/>
  <c r="H68" i="22"/>
  <c r="H69" i="19"/>
  <c r="H70" i="7"/>
  <c r="H60" i="9"/>
  <c r="H73" i="8"/>
  <c r="H59" i="10"/>
  <c r="H65" i="13"/>
  <c r="H59" i="12"/>
  <c r="H64" i="14"/>
  <c r="G70" i="7"/>
  <c r="G59" i="10"/>
  <c r="J59" i="10" s="1"/>
  <c r="K59" i="10" s="1"/>
  <c r="G64" i="14"/>
  <c r="G69" i="19"/>
  <c r="G68" i="22"/>
  <c r="G73" i="8"/>
  <c r="G60" i="9"/>
  <c r="G59" i="12"/>
  <c r="G65" i="13"/>
  <c r="D27" i="21"/>
  <c r="H84" i="20"/>
  <c r="L84" i="20" s="1"/>
  <c r="G68" i="19"/>
  <c r="H72" i="16"/>
  <c r="BB14" i="20" s="1"/>
  <c r="H68" i="19"/>
  <c r="H59" i="9"/>
  <c r="H58" i="10"/>
  <c r="H58" i="12"/>
  <c r="H64" i="15"/>
  <c r="H67" i="22"/>
  <c r="H69" i="7"/>
  <c r="H72" i="8"/>
  <c r="H64" i="13"/>
  <c r="H63" i="14"/>
  <c r="C27" i="20"/>
  <c r="C43" i="20" s="1"/>
  <c r="G19" i="20"/>
  <c r="C65" i="20"/>
  <c r="H67" i="19"/>
  <c r="H66" i="22"/>
  <c r="H71" i="8"/>
  <c r="H58" i="9"/>
  <c r="H71" i="16"/>
  <c r="H57" i="10"/>
  <c r="H57" i="12"/>
  <c r="H63" i="13"/>
  <c r="H68" i="7"/>
  <c r="H63" i="15"/>
  <c r="H62" i="14"/>
  <c r="M6" i="21"/>
  <c r="M42" i="21" s="1"/>
  <c r="M5" i="21"/>
  <c r="M29" i="21"/>
  <c r="M36" i="21" s="1"/>
  <c r="M8" i="21"/>
  <c r="M20" i="21"/>
  <c r="M44" i="21" s="1"/>
  <c r="M23" i="21"/>
  <c r="M18" i="21"/>
  <c r="M39" i="21" s="1"/>
  <c r="G41" i="22"/>
  <c r="M14" i="21"/>
  <c r="L12" i="21"/>
  <c r="L43" i="21" s="1"/>
  <c r="G39" i="7"/>
  <c r="L27" i="21"/>
  <c r="L14" i="21"/>
  <c r="L16" i="21"/>
  <c r="L6" i="21"/>
  <c r="L42" i="21" s="1"/>
  <c r="E49" i="7"/>
  <c r="G45" i="7" s="1"/>
  <c r="G51" i="8"/>
  <c r="G52" i="8"/>
  <c r="G33" i="10"/>
  <c r="I13" i="21"/>
  <c r="I6" i="21"/>
  <c r="G41" i="10"/>
  <c r="G40" i="10"/>
  <c r="I23" i="21"/>
  <c r="I18" i="21"/>
  <c r="I39" i="21" s="1"/>
  <c r="I16" i="21"/>
  <c r="I20" i="21"/>
  <c r="I8" i="21"/>
  <c r="G37" i="10"/>
  <c r="I14" i="21"/>
  <c r="I21" i="21"/>
  <c r="I28" i="21"/>
  <c r="G39" i="10"/>
  <c r="I27" i="21"/>
  <c r="I5" i="21"/>
  <c r="I19" i="21"/>
  <c r="I29" i="21"/>
  <c r="I12" i="21"/>
  <c r="H28" i="21"/>
  <c r="H14" i="21"/>
  <c r="G39" i="12"/>
  <c r="G42" i="12" s="1"/>
  <c r="H8" i="21"/>
  <c r="H16" i="21"/>
  <c r="H47" i="21" s="1"/>
  <c r="H5" i="21"/>
  <c r="H19" i="21"/>
  <c r="F49" i="12"/>
  <c r="H48" i="12" s="1"/>
  <c r="F45" i="11"/>
  <c r="H88" i="20"/>
  <c r="L88" i="20" s="1"/>
  <c r="H6" i="21"/>
  <c r="H12" i="21"/>
  <c r="H21" i="21"/>
  <c r="G33" i="12"/>
  <c r="H29" i="21"/>
  <c r="H27" i="21"/>
  <c r="H18" i="21"/>
  <c r="H39" i="21" s="1"/>
  <c r="H23" i="21"/>
  <c r="H46" i="21" s="1"/>
  <c r="H20" i="21"/>
  <c r="H13" i="21"/>
  <c r="H65" i="15"/>
  <c r="BB15" i="20" s="1"/>
  <c r="G65" i="15"/>
  <c r="BA15" i="20" s="1"/>
  <c r="BC15" i="20" s="1"/>
  <c r="G45" i="14"/>
  <c r="G46" i="14"/>
  <c r="H43" i="11"/>
  <c r="H44" i="11" s="1"/>
  <c r="H45" i="11" s="1"/>
  <c r="H47" i="11" s="1"/>
  <c r="C23" i="11"/>
  <c r="L85" i="20"/>
  <c r="F42" i="11"/>
  <c r="F56" i="15"/>
  <c r="H54" i="15" s="1"/>
  <c r="E31" i="21"/>
  <c r="E45" i="21" s="1"/>
  <c r="E19" i="21"/>
  <c r="G18" i="11"/>
  <c r="H59" i="4"/>
  <c r="H61" i="4" s="1"/>
  <c r="H67" i="4"/>
  <c r="BB13" i="20" s="1"/>
  <c r="E64" i="12"/>
  <c r="E69" i="13"/>
  <c r="E17" i="11"/>
  <c r="E18" i="11" s="1"/>
  <c r="E19" i="11" s="1"/>
  <c r="E20" i="11" s="1"/>
  <c r="E21" i="11" s="1"/>
  <c r="E23" i="11" s="1"/>
  <c r="G55" i="16"/>
  <c r="G52" i="16"/>
  <c r="G53" i="16"/>
  <c r="G55" i="4"/>
  <c r="H16" i="11"/>
  <c r="J16" i="11" s="1"/>
  <c r="J17" i="11" s="1"/>
  <c r="J18" i="11" s="1"/>
  <c r="G16" i="11"/>
  <c r="C19" i="20"/>
  <c r="C63" i="20"/>
  <c r="I19" i="20"/>
  <c r="E27" i="20"/>
  <c r="C44" i="20" s="1"/>
  <c r="I27" i="20"/>
  <c r="C46" i="20" s="1"/>
  <c r="Q84" i="20"/>
  <c r="Q85" i="20" s="1"/>
  <c r="Q86" i="20" s="1"/>
  <c r="Q87" i="20" s="1"/>
  <c r="Q88" i="20" s="1"/>
  <c r="Q89" i="20" s="1"/>
  <c r="Q90" i="20" s="1"/>
  <c r="Q91" i="20" s="1"/>
  <c r="Q92" i="20" s="1"/>
  <c r="Q93" i="20" s="1"/>
  <c r="Q94" i="20" s="1"/>
  <c r="Q96" i="20" s="1"/>
  <c r="R83" i="20"/>
  <c r="C61" i="20"/>
  <c r="G27" i="20"/>
  <c r="C45" i="20" s="1"/>
  <c r="E19" i="20"/>
  <c r="G96" i="20"/>
  <c r="K96" i="20" s="1"/>
  <c r="K83" i="20"/>
  <c r="E50" i="19"/>
  <c r="N22" i="21" s="1"/>
  <c r="L94" i="20"/>
  <c r="F58" i="19"/>
  <c r="H55" i="19" s="1"/>
  <c r="G41" i="19"/>
  <c r="G78" i="19" s="1"/>
  <c r="BA25" i="20" s="1"/>
  <c r="BC25" i="20" s="1"/>
  <c r="N31" i="21"/>
  <c r="M13" i="21"/>
  <c r="G47" i="22"/>
  <c r="G48" i="22"/>
  <c r="G46" i="22"/>
  <c r="M30" i="21"/>
  <c r="M45" i="21" s="1"/>
  <c r="G50" i="22"/>
  <c r="G49" i="22"/>
  <c r="M12" i="21"/>
  <c r="M43" i="21" s="1"/>
  <c r="L28" i="21"/>
  <c r="G47" i="7"/>
  <c r="G48" i="7"/>
  <c r="L21" i="21"/>
  <c r="L19" i="21"/>
  <c r="G48" i="8"/>
  <c r="G49" i="8"/>
  <c r="G43" i="8"/>
  <c r="F60" i="8"/>
  <c r="H59" i="8" s="1"/>
  <c r="E47" i="9"/>
  <c r="F52" i="9"/>
  <c r="H51" i="9" s="1"/>
  <c r="E38" i="21"/>
  <c r="G65" i="9"/>
  <c r="BA21" i="20" s="1"/>
  <c r="BC21" i="20" s="1"/>
  <c r="C32" i="21"/>
  <c r="D47" i="11"/>
  <c r="G49" i="19" l="1"/>
  <c r="N11" i="21"/>
  <c r="N7" i="21"/>
  <c r="K7" i="21"/>
  <c r="K42" i="21" s="1"/>
  <c r="M46" i="21"/>
  <c r="K11" i="21"/>
  <c r="L46" i="21"/>
  <c r="L37" i="21"/>
  <c r="M37" i="21"/>
  <c r="J11" i="21"/>
  <c r="G78" i="8"/>
  <c r="G61" i="10"/>
  <c r="J61" i="10" s="1"/>
  <c r="K61" i="10" s="1"/>
  <c r="G71" i="19"/>
  <c r="G52" i="13"/>
  <c r="F32" i="21"/>
  <c r="I47" i="21"/>
  <c r="F43" i="11"/>
  <c r="BB19" i="20"/>
  <c r="G17" i="11"/>
  <c r="G72" i="8"/>
  <c r="G58" i="12"/>
  <c r="G64" i="13"/>
  <c r="G67" i="22"/>
  <c r="G58" i="10"/>
  <c r="J58" i="10" s="1"/>
  <c r="K58" i="10" s="1"/>
  <c r="G59" i="9"/>
  <c r="G46" i="7"/>
  <c r="BB27" i="20"/>
  <c r="BB29" i="20" s="1"/>
  <c r="D40" i="21"/>
  <c r="D41" i="21"/>
  <c r="G72" i="16"/>
  <c r="BA14" i="20" s="1"/>
  <c r="G64" i="15"/>
  <c r="G63" i="14"/>
  <c r="G46" i="19"/>
  <c r="G45" i="19"/>
  <c r="N10" i="21"/>
  <c r="N26" i="21"/>
  <c r="N25" i="21"/>
  <c r="N17" i="21"/>
  <c r="N24" i="21"/>
  <c r="N9" i="21"/>
  <c r="N15" i="21"/>
  <c r="M38" i="21"/>
  <c r="L47" i="21"/>
  <c r="G53" i="8"/>
  <c r="K10" i="21"/>
  <c r="K15" i="21"/>
  <c r="K24" i="21"/>
  <c r="K9" i="21"/>
  <c r="K17" i="21"/>
  <c r="K25" i="21"/>
  <c r="K26" i="21"/>
  <c r="K22" i="21"/>
  <c r="J10" i="21"/>
  <c r="G45" i="9"/>
  <c r="G42" i="9"/>
  <c r="G44" i="9"/>
  <c r="J22" i="21"/>
  <c r="G75" i="7"/>
  <c r="I46" i="21"/>
  <c r="J17" i="21"/>
  <c r="J21" i="21"/>
  <c r="J15" i="21"/>
  <c r="H37" i="21"/>
  <c r="J24" i="21"/>
  <c r="J25" i="21"/>
  <c r="J9" i="21"/>
  <c r="J26" i="21"/>
  <c r="G37" i="21"/>
  <c r="G74" i="19"/>
  <c r="I37" i="21"/>
  <c r="G45" i="21"/>
  <c r="G20" i="11"/>
  <c r="G67" i="13"/>
  <c r="BA17" i="20" s="1"/>
  <c r="BC17" i="20" s="1"/>
  <c r="G75" i="8"/>
  <c r="G70" i="22"/>
  <c r="G62" i="9"/>
  <c r="G61" i="12"/>
  <c r="G50" i="14"/>
  <c r="J19" i="11"/>
  <c r="J20" i="11" s="1"/>
  <c r="J21" i="11" s="1"/>
  <c r="J23" i="11" s="1"/>
  <c r="E40" i="21"/>
  <c r="E49" i="21" s="1"/>
  <c r="L40" i="21"/>
  <c r="I40" i="21"/>
  <c r="G40" i="21"/>
  <c r="F40" i="21"/>
  <c r="M40" i="21"/>
  <c r="H40" i="21"/>
  <c r="C49" i="21"/>
  <c r="H41" i="21"/>
  <c r="F41" i="21"/>
  <c r="G41" i="21"/>
  <c r="I41" i="21"/>
  <c r="F38" i="21"/>
  <c r="D38" i="21"/>
  <c r="F64" i="16"/>
  <c r="F41" i="11"/>
  <c r="J41" i="11" s="1"/>
  <c r="J42" i="11" s="1"/>
  <c r="J43" i="11" s="1"/>
  <c r="R84" i="20"/>
  <c r="R85" i="20" s="1"/>
  <c r="R86" i="20" s="1"/>
  <c r="R87" i="20" s="1"/>
  <c r="R88" i="20" s="1"/>
  <c r="R89" i="20" s="1"/>
  <c r="R90" i="20" s="1"/>
  <c r="R91" i="20" s="1"/>
  <c r="G48" i="21"/>
  <c r="F45" i="21"/>
  <c r="I48" i="21"/>
  <c r="L48" i="21"/>
  <c r="H48" i="21"/>
  <c r="M48" i="21"/>
  <c r="D32" i="21"/>
  <c r="D48" i="21"/>
  <c r="F48" i="21"/>
  <c r="H81" i="8"/>
  <c r="G76" i="22"/>
  <c r="BA24" i="20" s="1"/>
  <c r="BC24" i="20" s="1"/>
  <c r="G77" i="19"/>
  <c r="G76" i="19"/>
  <c r="G75" i="22"/>
  <c r="G75" i="19"/>
  <c r="G76" i="7"/>
  <c r="G74" i="22"/>
  <c r="G73" i="19"/>
  <c r="G74" i="7"/>
  <c r="G64" i="9"/>
  <c r="G77" i="8"/>
  <c r="G72" i="22"/>
  <c r="G32" i="21"/>
  <c r="G38" i="21"/>
  <c r="G76" i="8"/>
  <c r="G72" i="19"/>
  <c r="G73" i="7"/>
  <c r="G63" i="9"/>
  <c r="G62" i="10"/>
  <c r="J62" i="10" s="1"/>
  <c r="K62" i="10" s="1"/>
  <c r="G71" i="22"/>
  <c r="H64" i="12"/>
  <c r="G36" i="21"/>
  <c r="H69" i="13"/>
  <c r="G69" i="22"/>
  <c r="G60" i="12"/>
  <c r="G74" i="8"/>
  <c r="G60" i="10"/>
  <c r="J60" i="10" s="1"/>
  <c r="K60" i="10" s="1"/>
  <c r="G66" i="13"/>
  <c r="G70" i="19"/>
  <c r="G71" i="7"/>
  <c r="G61" i="9"/>
  <c r="G65" i="14"/>
  <c r="BA16" i="20" s="1"/>
  <c r="BC16" i="20" s="1"/>
  <c r="G19" i="11"/>
  <c r="H67" i="9"/>
  <c r="N16" i="21"/>
  <c r="G48" i="19"/>
  <c r="N30" i="21"/>
  <c r="N21" i="21"/>
  <c r="N18" i="21"/>
  <c r="N39" i="21" s="1"/>
  <c r="N23" i="21"/>
  <c r="N20" i="21"/>
  <c r="N44" i="21" s="1"/>
  <c r="N28" i="21"/>
  <c r="N6" i="21"/>
  <c r="N42" i="21" s="1"/>
  <c r="N19" i="21"/>
  <c r="N8" i="21"/>
  <c r="G47" i="19"/>
  <c r="N12" i="21"/>
  <c r="N43" i="21" s="1"/>
  <c r="N29" i="21"/>
  <c r="N13" i="21"/>
  <c r="H78" i="22"/>
  <c r="G77" i="7"/>
  <c r="BA23" i="20" s="1"/>
  <c r="BC23" i="20" s="1"/>
  <c r="H79" i="7"/>
  <c r="G44" i="7"/>
  <c r="G49" i="7" s="1"/>
  <c r="H58" i="8"/>
  <c r="H60" i="8" s="1"/>
  <c r="I38" i="21"/>
  <c r="H38" i="21"/>
  <c r="G42" i="10"/>
  <c r="I30" i="21"/>
  <c r="G63" i="10"/>
  <c r="H47" i="10"/>
  <c r="H48" i="10" s="1"/>
  <c r="G21" i="11"/>
  <c r="G62" i="12"/>
  <c r="BA18" i="20" s="1"/>
  <c r="BC18" i="20" s="1"/>
  <c r="H30" i="21"/>
  <c r="H47" i="12"/>
  <c r="H49" i="12" s="1"/>
  <c r="H80" i="19"/>
  <c r="H65" i="10"/>
  <c r="G67" i="15"/>
  <c r="F44" i="11"/>
  <c r="F47" i="11" s="1"/>
  <c r="F57" i="13"/>
  <c r="H55" i="13" s="1"/>
  <c r="O31" i="21"/>
  <c r="E65" i="10"/>
  <c r="E32" i="21"/>
  <c r="H55" i="14"/>
  <c r="H56" i="14" s="1"/>
  <c r="H55" i="15"/>
  <c r="H56" i="15" s="1"/>
  <c r="H69" i="4"/>
  <c r="G57" i="16"/>
  <c r="H23" i="11"/>
  <c r="I16" i="11"/>
  <c r="I17" i="11" s="1"/>
  <c r="I18" i="11" s="1"/>
  <c r="N27" i="21"/>
  <c r="N48" i="21" s="1"/>
  <c r="H56" i="19"/>
  <c r="H58" i="19" s="1"/>
  <c r="M32" i="21"/>
  <c r="G51" i="22"/>
  <c r="F59" i="22"/>
  <c r="L93" i="20"/>
  <c r="L38" i="21"/>
  <c r="L92" i="20"/>
  <c r="F57" i="7"/>
  <c r="H54" i="7" s="1"/>
  <c r="H55" i="7"/>
  <c r="L32" i="21"/>
  <c r="G79" i="8"/>
  <c r="BA22" i="20" s="1"/>
  <c r="BC22" i="20" s="1"/>
  <c r="L91" i="20"/>
  <c r="J29" i="21"/>
  <c r="G46" i="9"/>
  <c r="J23" i="21"/>
  <c r="J12" i="21"/>
  <c r="J43" i="21" s="1"/>
  <c r="G41" i="9"/>
  <c r="J13" i="21"/>
  <c r="G40" i="9"/>
  <c r="G43" i="9"/>
  <c r="J6" i="21"/>
  <c r="J42" i="21" s="1"/>
  <c r="G39" i="9"/>
  <c r="J18" i="21"/>
  <c r="J27" i="21"/>
  <c r="J20" i="21"/>
  <c r="J44" i="21" s="1"/>
  <c r="J28" i="21"/>
  <c r="J5" i="21"/>
  <c r="J16" i="21"/>
  <c r="J19" i="21"/>
  <c r="J8" i="21"/>
  <c r="J14" i="21"/>
  <c r="H50" i="9"/>
  <c r="H52" i="9" s="1"/>
  <c r="G50" i="19" l="1"/>
  <c r="O7" i="21"/>
  <c r="O11" i="21"/>
  <c r="N37" i="21"/>
  <c r="J37" i="21"/>
  <c r="J46" i="21"/>
  <c r="N46" i="21"/>
  <c r="F49" i="21"/>
  <c r="BA19" i="20"/>
  <c r="G69" i="13"/>
  <c r="J63" i="10"/>
  <c r="K63" i="10" s="1"/>
  <c r="BA20" i="20"/>
  <c r="BC20" i="20" s="1"/>
  <c r="J44" i="11"/>
  <c r="J45" i="11" s="1"/>
  <c r="J47" i="11" s="1"/>
  <c r="BC14" i="20"/>
  <c r="N47" i="21"/>
  <c r="O42" i="21"/>
  <c r="O10" i="21"/>
  <c r="O26" i="21"/>
  <c r="O24" i="21"/>
  <c r="O25" i="21"/>
  <c r="O17" i="21"/>
  <c r="O9" i="21"/>
  <c r="O22" i="21"/>
  <c r="J47" i="21"/>
  <c r="G67" i="9"/>
  <c r="J40" i="21"/>
  <c r="N40" i="21"/>
  <c r="I19" i="11"/>
  <c r="I20" i="11" s="1"/>
  <c r="I21" i="11" s="1"/>
  <c r="I23" i="11" s="1"/>
  <c r="M49" i="21"/>
  <c r="G23" i="11"/>
  <c r="G67" i="14"/>
  <c r="D49" i="21"/>
  <c r="H62" i="16"/>
  <c r="H63" i="16"/>
  <c r="N38" i="21"/>
  <c r="L49" i="21"/>
  <c r="H32" i="21"/>
  <c r="H45" i="21"/>
  <c r="H49" i="21" s="1"/>
  <c r="I32" i="21"/>
  <c r="I45" i="21"/>
  <c r="I49" i="21" s="1"/>
  <c r="N45" i="21"/>
  <c r="J48" i="21"/>
  <c r="G49" i="21"/>
  <c r="O36" i="21"/>
  <c r="O6" i="21"/>
  <c r="G79" i="7"/>
  <c r="G78" i="22"/>
  <c r="G65" i="10"/>
  <c r="J30" i="21"/>
  <c r="G80" i="19"/>
  <c r="G64" i="12"/>
  <c r="H67" i="15"/>
  <c r="H67" i="14"/>
  <c r="H56" i="13"/>
  <c r="H57" i="13" s="1"/>
  <c r="H96" i="20"/>
  <c r="L96" i="20" s="1"/>
  <c r="N32" i="21"/>
  <c r="H56" i="22"/>
  <c r="H57" i="22"/>
  <c r="H57" i="7"/>
  <c r="R92" i="20"/>
  <c r="R93" i="20" s="1"/>
  <c r="R94" i="20" s="1"/>
  <c r="R96" i="20" s="1"/>
  <c r="G81" i="8"/>
  <c r="J38" i="21"/>
  <c r="G47" i="9"/>
  <c r="BA27" i="20" l="1"/>
  <c r="H64" i="16"/>
  <c r="N49" i="21"/>
  <c r="O30" i="21"/>
  <c r="J45" i="21"/>
  <c r="O45" i="21" s="1"/>
  <c r="E67" i="9"/>
  <c r="J32" i="21"/>
  <c r="E81" i="8"/>
  <c r="K12" i="21"/>
  <c r="K43" i="21" s="1"/>
  <c r="O43" i="21" s="1"/>
  <c r="K21" i="21"/>
  <c r="O21" i="21" s="1"/>
  <c r="K19" i="21"/>
  <c r="K27" i="21"/>
  <c r="O27" i="21" s="1"/>
  <c r="K14" i="21"/>
  <c r="O14" i="21" s="1"/>
  <c r="K8" i="21"/>
  <c r="K37" i="21" s="1"/>
  <c r="K16" i="21"/>
  <c r="K47" i="21" s="1"/>
  <c r="K5" i="21"/>
  <c r="O15" i="21"/>
  <c r="K13" i="21"/>
  <c r="O13" i="21" s="1"/>
  <c r="H59" i="22"/>
  <c r="BC27" i="20" l="1"/>
  <c r="C68" i="20"/>
  <c r="O16" i="21"/>
  <c r="O47" i="21"/>
  <c r="K40" i="21"/>
  <c r="O40" i="21" s="1"/>
  <c r="O12" i="21"/>
  <c r="O41" i="21"/>
  <c r="J49" i="21"/>
  <c r="K48" i="21"/>
  <c r="O48" i="21" s="1"/>
  <c r="K23" i="21"/>
  <c r="K46" i="21" s="1"/>
  <c r="K28" i="21"/>
  <c r="K38" i="21" s="1"/>
  <c r="O38" i="21" s="1"/>
  <c r="K29" i="21"/>
  <c r="O29" i="21" s="1"/>
  <c r="K20" i="21"/>
  <c r="K18" i="21"/>
  <c r="O19" i="21"/>
  <c r="E79" i="7"/>
  <c r="O8" i="21"/>
  <c r="O5" i="21"/>
  <c r="O20" i="21" l="1"/>
  <c r="K44" i="21"/>
  <c r="O44" i="21" s="1"/>
  <c r="O23" i="21"/>
  <c r="O46" i="21"/>
  <c r="O28" i="21"/>
  <c r="K32" i="21"/>
  <c r="O18" i="21"/>
  <c r="K39" i="21"/>
  <c r="O39" i="21" s="1"/>
  <c r="E78" i="22"/>
  <c r="E80" i="19"/>
  <c r="O37" i="21"/>
  <c r="H74" i="16"/>
  <c r="G74" i="16"/>
  <c r="AZ29" i="20"/>
  <c r="O32" i="21" l="1"/>
  <c r="K49" i="21"/>
  <c r="O49" i="21"/>
  <c r="C67" i="20"/>
  <c r="J98" i="20"/>
</calcChain>
</file>

<file path=xl/sharedStrings.xml><?xml version="1.0" encoding="utf-8"?>
<sst xmlns="http://schemas.openxmlformats.org/spreadsheetml/2006/main" count="808" uniqueCount="136">
  <si>
    <t>Temporada</t>
  </si>
  <si>
    <t xml:space="preserve">DATOS ESTADíSTICOS SECTOR PESQUERO AL </t>
  </si>
  <si>
    <t>31/01/</t>
  </si>
  <si>
    <t>DJ</t>
  </si>
  <si>
    <t>FECHA</t>
  </si>
  <si>
    <t>BUQUE</t>
  </si>
  <si>
    <t>DESCARGA /KGS.</t>
  </si>
  <si>
    <t>MOVIMIENTO</t>
  </si>
  <si>
    <t>VIERNES SANTO</t>
  </si>
  <si>
    <t>DESCARGA A PLANTA PROCESADORA</t>
  </si>
  <si>
    <t>TOTAL TONELADAS</t>
  </si>
  <si>
    <t>EMPRESA</t>
  </si>
  <si>
    <t>DESCARGA/KGS.</t>
  </si>
  <si>
    <t>%</t>
  </si>
  <si>
    <t>B/P</t>
  </si>
  <si>
    <t>Los Importados S.R.L.</t>
  </si>
  <si>
    <t>La Perla Del Este</t>
  </si>
  <si>
    <t>Melimar S.A.</t>
  </si>
  <si>
    <t>Hemdora S.A.</t>
  </si>
  <si>
    <t>La Escalerona S.A.</t>
  </si>
  <si>
    <t>TOTALES</t>
  </si>
  <si>
    <t>A Camión Térmico/Uruguay</t>
  </si>
  <si>
    <t>A Planta Procesadora</t>
  </si>
  <si>
    <t>COMPARATIVO AÑO ANTERIOR</t>
  </si>
  <si>
    <t>AÑO</t>
  </si>
  <si>
    <t>ANTERIOR</t>
  </si>
  <si>
    <t>ACTUAL</t>
  </si>
  <si>
    <t>MES</t>
  </si>
  <si>
    <t>Toneladas</t>
  </si>
  <si>
    <t>Buques</t>
  </si>
  <si>
    <t>Enero</t>
  </si>
  <si>
    <t>28/02/</t>
  </si>
  <si>
    <t>MARTA S</t>
  </si>
  <si>
    <t>Argenwolf S.A.</t>
  </si>
  <si>
    <t>Febrero</t>
  </si>
  <si>
    <t>31/03/</t>
  </si>
  <si>
    <t>DON AGUSTIN</t>
  </si>
  <si>
    <t>San Salvador S.R.L.</t>
  </si>
  <si>
    <t>Marzo</t>
  </si>
  <si>
    <t>30/04/</t>
  </si>
  <si>
    <t>MARINA Z</t>
  </si>
  <si>
    <t>HUAFENG 818</t>
  </si>
  <si>
    <t>FRANCA</t>
  </si>
  <si>
    <t>Chiarmar S.A.</t>
  </si>
  <si>
    <t>Abril</t>
  </si>
  <si>
    <t>31/05/</t>
  </si>
  <si>
    <t>Mayo</t>
  </si>
  <si>
    <t>30/06/</t>
  </si>
  <si>
    <t>Junio</t>
  </si>
  <si>
    <t>ACUMULATIVO</t>
  </si>
  <si>
    <t>TOTAL</t>
  </si>
  <si>
    <t>Camión Térmico/Uruguay</t>
  </si>
  <si>
    <t>Planta Procesadora</t>
  </si>
  <si>
    <t>31/07/</t>
  </si>
  <si>
    <t>Los Importados s.r.l.</t>
  </si>
  <si>
    <t>Chiarmar S.A</t>
  </si>
  <si>
    <t>Luez S.R.L.</t>
  </si>
  <si>
    <t>Julio</t>
  </si>
  <si>
    <t>31/08/</t>
  </si>
  <si>
    <t>HUAFENG 815</t>
  </si>
  <si>
    <t>Red Chamber Arg. S.A.</t>
  </si>
  <si>
    <t>Esamar S.A.</t>
  </si>
  <si>
    <t>Agosto</t>
  </si>
  <si>
    <t>30/09/</t>
  </si>
  <si>
    <t>La Escalerona S.A</t>
  </si>
  <si>
    <t>Hemdora S.A</t>
  </si>
  <si>
    <t>Septiembre</t>
  </si>
  <si>
    <t>31/10/</t>
  </si>
  <si>
    <t>Octubre</t>
  </si>
  <si>
    <t>30/11/</t>
  </si>
  <si>
    <t>R. Calvo e Hijos S.A.</t>
  </si>
  <si>
    <t>Noviembre</t>
  </si>
  <si>
    <t>31/12/</t>
  </si>
  <si>
    <t>Iberconsa de Arg. S.A.</t>
  </si>
  <si>
    <t>Diciembre</t>
  </si>
  <si>
    <t>% Variación Tn. 2022/2023</t>
  </si>
  <si>
    <t>Total Semestre</t>
  </si>
  <si>
    <t>Total Anual</t>
  </si>
  <si>
    <t>Total Buques</t>
  </si>
  <si>
    <t>TONELADAS</t>
  </si>
  <si>
    <t>DATOS ESTADÍSTICOS POR MOVIMIENTO - 2022</t>
  </si>
  <si>
    <t>MOVIMIENTO 2022 / KGS.</t>
  </si>
  <si>
    <t>MOVIMIENTO 2023/ KGS.</t>
  </si>
  <si>
    <t>% VARIACIÓN  KGS.    2022/2023</t>
  </si>
  <si>
    <t>ACUMULATIVO MOVIMIENTO 2023/ KGS.</t>
  </si>
  <si>
    <t>Uruguay</t>
  </si>
  <si>
    <t>Calamar Planta Procesadora</t>
  </si>
  <si>
    <t>Trasbordo a mercante</t>
  </si>
  <si>
    <t>TOTAL MOVIMIENTO (KGS.)</t>
  </si>
  <si>
    <t xml:space="preserve"> </t>
  </si>
  <si>
    <t>Fuente: 1983 a 1997  CO.D.E.PO. - Mtrio. Economía Pcia. de Río Negro (1983 a 1985 no hubo movimiento)</t>
  </si>
  <si>
    <t>DESCARGA EXPRESADA EN KGS.  2023</t>
  </si>
  <si>
    <t xml:space="preserve">BUQUE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</si>
  <si>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</si>
  <si>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</si>
  <si>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</si>
  <si>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</si>
  <si>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</si>
  <si>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</si>
  <si>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</si>
  <si>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</si>
  <si>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SPTBRE</t>
  </si>
  <si>
    <t>OCTBRE</t>
  </si>
  <si>
    <t>NVBRE</t>
  </si>
  <si>
    <t>DCBRE</t>
  </si>
  <si>
    <t>Gloriosus</t>
  </si>
  <si>
    <t>Huafeng 820</t>
  </si>
  <si>
    <t>Marina Z</t>
  </si>
  <si>
    <t>Don Agustin</t>
  </si>
  <si>
    <t>Don Juan</t>
  </si>
  <si>
    <t>El Santo</t>
  </si>
  <si>
    <t>Franca</t>
  </si>
  <si>
    <t>Huafeng 821</t>
  </si>
  <si>
    <t>Magdalena María II</t>
  </si>
  <si>
    <t>Canal de Beagle</t>
  </si>
  <si>
    <t>Norman</t>
  </si>
  <si>
    <t>Maria Rita</t>
  </si>
  <si>
    <t>Araucania</t>
  </si>
  <si>
    <t>Columbus</t>
  </si>
  <si>
    <t>Viernes Santo</t>
  </si>
  <si>
    <t>Floridablanca</t>
  </si>
  <si>
    <t>Arvi</t>
  </si>
  <si>
    <t>Huafeng 815</t>
  </si>
  <si>
    <t>Huafeng 817</t>
  </si>
  <si>
    <t>Huafeng 818</t>
  </si>
  <si>
    <t>Huafeng 827</t>
  </si>
  <si>
    <t>Huafeng 828</t>
  </si>
  <si>
    <t>Marta S</t>
  </si>
  <si>
    <t>Sumatra</t>
  </si>
  <si>
    <t>Petrel</t>
  </si>
  <si>
    <t>Coraje</t>
  </si>
  <si>
    <t>Golfo San Matias</t>
  </si>
  <si>
    <t>Los Importados S:R.L.</t>
  </si>
  <si>
    <t>Melimar S,A.</t>
  </si>
  <si>
    <t>Iberconsa de Arg S.A.</t>
  </si>
  <si>
    <t>Chiarmar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</si>
</sst>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</font>
    <font>
      <b/>
      <sz val="9"/>
      <name val="Verdana"/>
      <family val="2"/>
    </font>
    <font>
      <b/>
      <sz val="10"/>
      <name val="Arial"/>
      <family val="2"/>
    </font>
    <font>
      <sz val="9"/>
      <name val="Verdana"/>
      <family val="2"/>
    </font>
    <font>
      <b/>
      <sz val="9"/>
      <color indexed="14"/>
      <name val="Verdana"/>
      <family val="2"/>
    </font>
    <font>
      <b/>
      <sz val="9"/>
      <color indexed="40"/>
      <name val="Verdana"/>
      <family val="2"/>
    </font>
    <font>
      <sz val="9"/>
      <color indexed="40"/>
      <name val="Verdana"/>
      <family val="2"/>
    </font>
    <font>
      <b/>
      <sz val="9"/>
      <color indexed="52"/>
      <name val="Verdana"/>
      <family val="2"/>
    </font>
    <font>
      <sz val="9"/>
      <color indexed="18"/>
      <name val="Verdana"/>
      <family val="2"/>
    </font>
    <font>
      <sz val="10"/>
      <color indexed="6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9"/>
      <name val="Arial"/>
      <family val="2"/>
    </font>
    <font>
      <b/>
      <i/>
      <sz val="12"/>
      <name val="Verdana"/>
      <family val="2"/>
    </font>
    <font>
      <b/>
      <sz val="10"/>
      <name val="Calibri"/>
      <family val="2"/>
      <scheme val="minor"/>
    </font>
    <font>
      <b/>
      <sz val="10"/>
      <color indexed="18"/>
      <name val="Calibri"/>
      <family val="2"/>
      <scheme val="minor"/>
    </font>
    <font>
      <sz val="10"/>
      <name val="Calibri"/>
      <family val="2"/>
      <scheme val="minor"/>
    </font>
    <font>
      <sz val="8"/>
      <color indexed="18"/>
      <name val="Calibri"/>
      <family val="2"/>
      <scheme val="minor"/>
    </font>
    <font>
      <sz val="10"/>
      <color indexed="18"/>
      <name val="Calibri"/>
      <family val="2"/>
      <scheme val="minor"/>
    </font>
    <font>
      <sz val="8"/>
      <name val="Calibri"/>
      <family val="2"/>
      <scheme val="minor"/>
    </font>
    <font>
      <sz val="7"/>
      <color indexed="18"/>
      <name val="Calibri"/>
      <family val="2"/>
      <scheme val="minor"/>
    </font>
    <font>
      <sz val="9"/>
      <color indexed="18"/>
      <name val="Calibri"/>
      <family val="2"/>
      <scheme val="minor"/>
    </font>
    <font>
      <b/>
      <sz val="12"/>
      <color indexed="62"/>
      <name val="Calibri"/>
      <family val="2"/>
      <scheme val="minor"/>
    </font>
    <font>
      <sz val="10"/>
      <color indexed="62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7"/>
      <color indexed="18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62"/>
      <name val="Calibri"/>
      <family val="2"/>
      <scheme val="minor"/>
    </font>
    <font>
      <b/>
      <sz val="9"/>
      <color indexed="40"/>
      <name val="Calibri"/>
      <family val="2"/>
      <scheme val="minor"/>
    </font>
    <font>
      <b/>
      <sz val="9"/>
      <color indexed="62"/>
      <name val="Calibri"/>
      <family val="2"/>
      <scheme val="minor"/>
    </font>
    <font>
      <sz val="9"/>
      <color indexed="40"/>
      <name val="Calibri"/>
      <family val="2"/>
      <scheme val="minor"/>
    </font>
    <font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sz val="9"/>
      <color indexed="10"/>
      <name val="Calibri"/>
      <family val="2"/>
      <scheme val="minor"/>
    </font>
    <font>
      <b/>
      <sz val="14"/>
      <color rgb="FF000080"/>
      <name val="Calibri"/>
      <family val="2"/>
      <scheme val="minor"/>
    </font>
    <font>
      <b/>
      <sz val="9"/>
      <color indexed="18"/>
      <name val="Calibri"/>
      <family val="2"/>
      <scheme val="minor"/>
    </font>
    <font>
      <b/>
      <sz val="10"/>
      <color indexed="6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62"/>
      </top>
      <bottom/>
      <diagonal/>
    </border>
    <border>
      <left style="thin">
        <color indexed="62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 style="thin">
        <color indexed="62"/>
      </top>
      <bottom/>
      <diagonal/>
    </border>
  </borders>
  <cellStyleXfs count="3">
    <xf numFmtId="0" fontId="0" fillId="0" borderId="0"/>
    <xf numFmtId="0" fontId="12" fillId="2" borderId="0" applyNumberFormat="0" applyBorder="0" applyAlignment="0" applyProtection="0"/>
    <xf numFmtId="0" fontId="13" fillId="0" borderId="2" applyNumberFormat="0" applyFill="0" applyAlignment="0" applyProtection="0"/>
  </cellStyleXfs>
  <cellXfs count="333">
    <xf numFmtId="0" fontId="0" fillId="0" borderId="0" xfId="0"/>
    <xf numFmtId="0" fontId="3" fillId="0" borderId="0" xfId="0" applyFont="1"/>
    <xf numFmtId="4" fontId="0" fillId="0" borderId="0" xfId="0" applyNumberFormat="1"/>
    <xf numFmtId="0" fontId="9" fillId="0" borderId="0" xfId="0" applyFont="1" applyAlignment="1">
      <alignment horizontal="right"/>
    </xf>
    <xf numFmtId="4" fontId="9" fillId="0" borderId="0" xfId="0" applyNumberFormat="1" applyFont="1"/>
    <xf numFmtId="0" fontId="10" fillId="0" borderId="0" xfId="0" applyFont="1"/>
    <xf numFmtId="0" fontId="0" fillId="7" borderId="0" xfId="0" applyFill="1"/>
    <xf numFmtId="0" fontId="11" fillId="0" borderId="0" xfId="0" applyFont="1"/>
    <xf numFmtId="4" fontId="0" fillId="0" borderId="1" xfId="0" applyNumberFormat="1" applyBorder="1"/>
    <xf numFmtId="0" fontId="0" fillId="10" borderId="0" xfId="0" applyFill="1"/>
    <xf numFmtId="0" fontId="2" fillId="10" borderId="0" xfId="0" applyFont="1" applyFill="1" applyAlignment="1">
      <alignment horizontal="center"/>
    </xf>
    <xf numFmtId="0" fontId="0" fillId="10" borderId="0" xfId="0" applyFill="1" applyAlignment="1">
      <alignment horizontal="left"/>
    </xf>
    <xf numFmtId="0" fontId="2" fillId="10" borderId="0" xfId="0" applyFont="1" applyFill="1" applyAlignment="1">
      <alignment horizontal="left"/>
    </xf>
    <xf numFmtId="0" fontId="3" fillId="10" borderId="0" xfId="0" applyFont="1" applyFill="1"/>
    <xf numFmtId="0" fontId="1" fillId="10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14" fontId="3" fillId="10" borderId="0" xfId="0" applyNumberFormat="1" applyFont="1" applyFill="1" applyAlignment="1">
      <alignment horizontal="left"/>
    </xf>
    <xf numFmtId="4" fontId="5" fillId="10" borderId="0" xfId="0" applyNumberFormat="1" applyFont="1" applyFill="1"/>
    <xf numFmtId="0" fontId="7" fillId="10" borderId="0" xfId="0" applyFont="1" applyFill="1"/>
    <xf numFmtId="4" fontId="7" fillId="10" borderId="0" xfId="0" applyNumberFormat="1" applyFont="1" applyFill="1"/>
    <xf numFmtId="0" fontId="6" fillId="10" borderId="0" xfId="0" applyFont="1" applyFill="1"/>
    <xf numFmtId="0" fontId="5" fillId="10" borderId="0" xfId="0" applyFont="1" applyFill="1" applyAlignment="1">
      <alignment horizontal="left"/>
    </xf>
    <xf numFmtId="10" fontId="3" fillId="10" borderId="0" xfId="0" applyNumberFormat="1" applyFont="1" applyFill="1"/>
    <xf numFmtId="1" fontId="3" fillId="10" borderId="0" xfId="0" applyNumberFormat="1" applyFont="1" applyFill="1"/>
    <xf numFmtId="0" fontId="5" fillId="10" borderId="0" xfId="0" applyFont="1" applyFill="1" applyAlignment="1">
      <alignment horizontal="right"/>
    </xf>
    <xf numFmtId="1" fontId="5" fillId="10" borderId="0" xfId="0" applyNumberFormat="1" applyFont="1" applyFill="1"/>
    <xf numFmtId="0" fontId="8" fillId="10" borderId="0" xfId="0" applyFont="1" applyFill="1"/>
    <xf numFmtId="0" fontId="4" fillId="10" borderId="0" xfId="0" applyFont="1" applyFill="1" applyAlignment="1">
      <alignment horizontal="left"/>
    </xf>
    <xf numFmtId="0" fontId="4" fillId="10" borderId="0" xfId="0" applyFont="1" applyFill="1" applyAlignment="1">
      <alignment horizontal="center"/>
    </xf>
    <xf numFmtId="0" fontId="4" fillId="10" borderId="0" xfId="0" applyFont="1" applyFill="1" applyAlignment="1">
      <alignment horizontal="right"/>
    </xf>
    <xf numFmtId="4" fontId="4" fillId="10" borderId="0" xfId="0" applyNumberFormat="1" applyFont="1" applyFill="1"/>
    <xf numFmtId="1" fontId="4" fillId="10" borderId="0" xfId="0" applyNumberFormat="1" applyFont="1" applyFill="1"/>
    <xf numFmtId="0" fontId="1" fillId="10" borderId="0" xfId="0" applyFont="1" applyFill="1" applyAlignment="1">
      <alignment horizontal="left"/>
    </xf>
    <xf numFmtId="4" fontId="15" fillId="10" borderId="0" xfId="0" applyNumberFormat="1" applyFont="1" applyFill="1"/>
    <xf numFmtId="0" fontId="0" fillId="11" borderId="0" xfId="0" applyFill="1"/>
    <xf numFmtId="0" fontId="0" fillId="9" borderId="0" xfId="0" applyFill="1"/>
    <xf numFmtId="0" fontId="11" fillId="9" borderId="0" xfId="0" applyFont="1" applyFill="1"/>
    <xf numFmtId="0" fontId="0" fillId="12" borderId="0" xfId="0" applyFill="1"/>
    <xf numFmtId="0" fontId="11" fillId="11" borderId="0" xfId="0" applyFont="1" applyFill="1"/>
    <xf numFmtId="0" fontId="11" fillId="7" borderId="0" xfId="0" applyFont="1" applyFill="1"/>
    <xf numFmtId="0" fontId="11" fillId="13" borderId="0" xfId="0" applyFont="1" applyFill="1"/>
    <xf numFmtId="0" fontId="3" fillId="10" borderId="0" xfId="0" applyFont="1" applyFill="1" applyAlignment="1">
      <alignment horizontal="left"/>
    </xf>
    <xf numFmtId="4" fontId="3" fillId="10" borderId="0" xfId="0" applyNumberFormat="1" applyFont="1" applyFill="1"/>
    <xf numFmtId="0" fontId="0" fillId="0" borderId="0" xfId="0" applyAlignment="1">
      <alignment horizontal="center"/>
    </xf>
    <xf numFmtId="0" fontId="0" fillId="14" borderId="0" xfId="0" applyFill="1"/>
    <xf numFmtId="0" fontId="11" fillId="15" borderId="0" xfId="0" applyFont="1" applyFill="1"/>
    <xf numFmtId="0" fontId="14" fillId="16" borderId="0" xfId="0" applyFont="1" applyFill="1"/>
    <xf numFmtId="0" fontId="0" fillId="16" borderId="0" xfId="0" applyFill="1"/>
    <xf numFmtId="0" fontId="16" fillId="3" borderId="0" xfId="0" applyFont="1" applyFill="1" applyAlignment="1">
      <alignment horizontal="left"/>
    </xf>
    <xf numFmtId="0" fontId="16" fillId="10" borderId="0" xfId="0" applyFont="1" applyFill="1"/>
    <xf numFmtId="0" fontId="16" fillId="0" borderId="0" xfId="0" applyFont="1"/>
    <xf numFmtId="0" fontId="18" fillId="3" borderId="0" xfId="0" applyFont="1" applyFill="1"/>
    <xf numFmtId="0" fontId="16" fillId="3" borderId="0" xfId="0" applyFont="1" applyFill="1" applyAlignment="1">
      <alignment horizontal="center"/>
    </xf>
    <xf numFmtId="0" fontId="18" fillId="0" borderId="0" xfId="0" applyFont="1"/>
    <xf numFmtId="0" fontId="18" fillId="10" borderId="0" xfId="0" applyFont="1" applyFill="1"/>
    <xf numFmtId="0" fontId="18" fillId="3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20" fillId="3" borderId="5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21" fillId="3" borderId="6" xfId="0" applyFont="1" applyFill="1" applyBorder="1" applyAlignment="1">
      <alignment horizontal="center"/>
    </xf>
    <xf numFmtId="0" fontId="21" fillId="3" borderId="7" xfId="0" applyFont="1" applyFill="1" applyBorder="1"/>
    <xf numFmtId="4" fontId="21" fillId="3" borderId="0" xfId="0" applyNumberFormat="1" applyFont="1" applyFill="1"/>
    <xf numFmtId="3" fontId="21" fillId="3" borderId="0" xfId="0" applyNumberFormat="1" applyFont="1" applyFill="1"/>
    <xf numFmtId="4" fontId="21" fillId="3" borderId="3" xfId="0" applyNumberFormat="1" applyFont="1" applyFill="1" applyBorder="1" applyAlignment="1">
      <alignment horizontal="right"/>
    </xf>
    <xf numFmtId="10" fontId="21" fillId="5" borderId="7" xfId="0" applyNumberFormat="1" applyFont="1" applyFill="1" applyBorder="1"/>
    <xf numFmtId="0" fontId="21" fillId="3" borderId="8" xfId="0" applyFont="1" applyFill="1" applyBorder="1"/>
    <xf numFmtId="4" fontId="21" fillId="3" borderId="9" xfId="0" applyNumberFormat="1" applyFont="1" applyFill="1" applyBorder="1"/>
    <xf numFmtId="4" fontId="21" fillId="3" borderId="12" xfId="0" applyNumberFormat="1" applyFont="1" applyFill="1" applyBorder="1"/>
    <xf numFmtId="3" fontId="21" fillId="3" borderId="12" xfId="0" applyNumberFormat="1" applyFont="1" applyFill="1" applyBorder="1"/>
    <xf numFmtId="3" fontId="21" fillId="3" borderId="8" xfId="0" applyNumberFormat="1" applyFont="1" applyFill="1" applyBorder="1" applyAlignment="1">
      <alignment horizontal="right"/>
    </xf>
    <xf numFmtId="4" fontId="18" fillId="3" borderId="0" xfId="0" applyNumberFormat="1" applyFont="1" applyFill="1"/>
    <xf numFmtId="0" fontId="23" fillId="4" borderId="0" xfId="0" applyFont="1" applyFill="1"/>
    <xf numFmtId="0" fontId="21" fillId="3" borderId="0" xfId="0" applyFont="1" applyFill="1"/>
    <xf numFmtId="0" fontId="21" fillId="10" borderId="0" xfId="0" applyFont="1" applyFill="1"/>
    <xf numFmtId="0" fontId="23" fillId="0" borderId="0" xfId="0" applyFont="1"/>
    <xf numFmtId="0" fontId="20" fillId="3" borderId="0" xfId="0" applyFont="1" applyFill="1" applyAlignment="1">
      <alignment horizontal="right"/>
    </xf>
    <xf numFmtId="0" fontId="20" fillId="5" borderId="16" xfId="0" applyFont="1" applyFill="1" applyBorder="1" applyAlignment="1">
      <alignment horizontal="center"/>
    </xf>
    <xf numFmtId="0" fontId="20" fillId="3" borderId="0" xfId="0" applyFont="1" applyFill="1" applyAlignment="1">
      <alignment horizontal="center"/>
    </xf>
    <xf numFmtId="0" fontId="20" fillId="3" borderId="12" xfId="0" applyFont="1" applyFill="1" applyBorder="1" applyAlignment="1">
      <alignment horizontal="right"/>
    </xf>
    <xf numFmtId="0" fontId="19" fillId="5" borderId="6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3" fontId="21" fillId="3" borderId="0" xfId="0" applyNumberFormat="1" applyFont="1" applyFill="1" applyAlignment="1">
      <alignment horizontal="right"/>
    </xf>
    <xf numFmtId="3" fontId="21" fillId="3" borderId="4" xfId="0" applyNumberFormat="1" applyFont="1" applyFill="1" applyBorder="1" applyAlignment="1">
      <alignment horizontal="right"/>
    </xf>
    <xf numFmtId="10" fontId="21" fillId="3" borderId="0" xfId="0" applyNumberFormat="1" applyFont="1" applyFill="1" applyAlignment="1">
      <alignment horizontal="center"/>
    </xf>
    <xf numFmtId="3" fontId="21" fillId="3" borderId="12" xfId="0" applyNumberFormat="1" applyFont="1" applyFill="1" applyBorder="1" applyAlignment="1">
      <alignment horizontal="right"/>
    </xf>
    <xf numFmtId="3" fontId="21" fillId="3" borderId="10" xfId="0" applyNumberFormat="1" applyFont="1" applyFill="1" applyBorder="1" applyAlignment="1">
      <alignment horizontal="right"/>
    </xf>
    <xf numFmtId="10" fontId="21" fillId="3" borderId="12" xfId="0" applyNumberFormat="1" applyFont="1" applyFill="1" applyBorder="1" applyAlignment="1">
      <alignment horizontal="center"/>
    </xf>
    <xf numFmtId="4" fontId="18" fillId="3" borderId="0" xfId="0" applyNumberFormat="1" applyFont="1" applyFill="1" applyAlignment="1">
      <alignment horizontal="right"/>
    </xf>
    <xf numFmtId="0" fontId="22" fillId="4" borderId="0" xfId="0" applyFont="1" applyFill="1"/>
    <xf numFmtId="4" fontId="18" fillId="4" borderId="0" xfId="0" applyNumberFormat="1" applyFont="1" applyFill="1" applyAlignment="1">
      <alignment horizontal="right"/>
    </xf>
    <xf numFmtId="4" fontId="18" fillId="4" borderId="0" xfId="0" applyNumberFormat="1" applyFont="1" applyFill="1"/>
    <xf numFmtId="4" fontId="25" fillId="3" borderId="0" xfId="0" applyNumberFormat="1" applyFont="1" applyFill="1" applyAlignment="1">
      <alignment horizontal="left"/>
    </xf>
    <xf numFmtId="4" fontId="25" fillId="4" borderId="0" xfId="0" applyNumberFormat="1" applyFont="1" applyFill="1" applyAlignment="1">
      <alignment horizontal="center"/>
    </xf>
    <xf numFmtId="0" fontId="22" fillId="3" borderId="0" xfId="0" applyFont="1" applyFill="1"/>
    <xf numFmtId="0" fontId="26" fillId="3" borderId="0" xfId="0" applyFont="1" applyFill="1" applyAlignment="1">
      <alignment horizontal="center"/>
    </xf>
    <xf numFmtId="4" fontId="26" fillId="3" borderId="0" xfId="0" applyNumberFormat="1" applyFont="1" applyFill="1"/>
    <xf numFmtId="2" fontId="18" fillId="3" borderId="0" xfId="0" applyNumberFormat="1" applyFont="1" applyFill="1"/>
    <xf numFmtId="0" fontId="18" fillId="3" borderId="0" xfId="0" applyFont="1" applyFill="1" applyAlignment="1">
      <alignment horizontal="center"/>
    </xf>
    <xf numFmtId="0" fontId="27" fillId="3" borderId="0" xfId="0" applyFont="1" applyFill="1" applyAlignment="1">
      <alignment horizontal="center" vertical="center"/>
    </xf>
    <xf numFmtId="0" fontId="26" fillId="3" borderId="0" xfId="0" applyFont="1" applyFill="1"/>
    <xf numFmtId="0" fontId="18" fillId="3" borderId="5" xfId="0" applyFont="1" applyFill="1" applyBorder="1" applyAlignment="1">
      <alignment horizontal="center"/>
    </xf>
    <xf numFmtId="4" fontId="26" fillId="6" borderId="5" xfId="0" applyNumberFormat="1" applyFont="1" applyFill="1" applyBorder="1" applyAlignment="1">
      <alignment horizontal="center"/>
    </xf>
    <xf numFmtId="0" fontId="24" fillId="3" borderId="0" xfId="0" applyFont="1" applyFill="1" applyAlignment="1">
      <alignment horizontal="center" vertical="center"/>
    </xf>
    <xf numFmtId="4" fontId="26" fillId="8" borderId="0" xfId="0" applyNumberFormat="1" applyFont="1" applyFill="1" applyAlignment="1">
      <alignment horizontal="right"/>
    </xf>
    <xf numFmtId="4" fontId="18" fillId="8" borderId="0" xfId="0" applyNumberFormat="1" applyFont="1" applyFill="1"/>
    <xf numFmtId="4" fontId="18" fillId="8" borderId="0" xfId="0" applyNumberFormat="1" applyFont="1" applyFill="1" applyAlignment="1">
      <alignment horizontal="right"/>
    </xf>
    <xf numFmtId="0" fontId="18" fillId="3" borderId="0" xfId="0" applyFont="1" applyFill="1" applyAlignment="1">
      <alignment horizontal="center" vertical="top"/>
    </xf>
    <xf numFmtId="4" fontId="18" fillId="9" borderId="0" xfId="0" applyNumberFormat="1" applyFont="1" applyFill="1"/>
    <xf numFmtId="0" fontId="28" fillId="3" borderId="7" xfId="0" applyFont="1" applyFill="1" applyBorder="1"/>
    <xf numFmtId="0" fontId="29" fillId="4" borderId="7" xfId="0" applyFont="1" applyFill="1" applyBorder="1"/>
    <xf numFmtId="0" fontId="28" fillId="3" borderId="8" xfId="0" applyFont="1" applyFill="1" applyBorder="1"/>
    <xf numFmtId="0" fontId="21" fillId="3" borderId="0" xfId="0" applyFont="1" applyFill="1" applyAlignment="1">
      <alignment horizontal="right"/>
    </xf>
    <xf numFmtId="0" fontId="17" fillId="3" borderId="5" xfId="0" applyFont="1" applyFill="1" applyBorder="1" applyAlignment="1">
      <alignment horizontal="center" vertical="top"/>
    </xf>
    <xf numFmtId="4" fontId="21" fillId="3" borderId="3" xfId="0" applyNumberFormat="1" applyFont="1" applyFill="1" applyBorder="1" applyAlignment="1">
      <alignment horizontal="center"/>
    </xf>
    <xf numFmtId="3" fontId="21" fillId="3" borderId="4" xfId="0" applyNumberFormat="1" applyFont="1" applyFill="1" applyBorder="1" applyAlignment="1">
      <alignment horizontal="center"/>
    </xf>
    <xf numFmtId="4" fontId="21" fillId="3" borderId="0" xfId="0" applyNumberFormat="1" applyFont="1" applyFill="1" applyAlignment="1">
      <alignment horizontal="center"/>
    </xf>
    <xf numFmtId="3" fontId="21" fillId="3" borderId="0" xfId="0" applyNumberFormat="1" applyFont="1" applyFill="1" applyAlignment="1">
      <alignment horizontal="center"/>
    </xf>
    <xf numFmtId="4" fontId="21" fillId="3" borderId="4" xfId="0" applyNumberFormat="1" applyFont="1" applyFill="1" applyBorder="1" applyAlignment="1">
      <alignment horizontal="center"/>
    </xf>
    <xf numFmtId="1" fontId="21" fillId="3" borderId="4" xfId="0" applyNumberFormat="1" applyFont="1" applyFill="1" applyBorder="1" applyAlignment="1">
      <alignment horizontal="center"/>
    </xf>
    <xf numFmtId="0" fontId="21" fillId="3" borderId="7" xfId="0" applyFont="1" applyFill="1" applyBorder="1" applyAlignment="1">
      <alignment horizontal="center"/>
    </xf>
    <xf numFmtId="2" fontId="21" fillId="3" borderId="4" xfId="0" applyNumberFormat="1" applyFont="1" applyFill="1" applyBorder="1" applyAlignment="1">
      <alignment horizontal="center"/>
    </xf>
    <xf numFmtId="3" fontId="21" fillId="3" borderId="7" xfId="0" applyNumberFormat="1" applyFont="1" applyFill="1" applyBorder="1" applyAlignment="1">
      <alignment horizontal="center"/>
    </xf>
    <xf numFmtId="4" fontId="19" fillId="4" borderId="3" xfId="0" applyNumberFormat="1" applyFont="1" applyFill="1" applyBorder="1" applyAlignment="1">
      <alignment horizontal="center"/>
    </xf>
    <xf numFmtId="3" fontId="19" fillId="4" borderId="4" xfId="0" applyNumberFormat="1" applyFont="1" applyFill="1" applyBorder="1" applyAlignment="1">
      <alignment horizontal="center"/>
    </xf>
    <xf numFmtId="3" fontId="19" fillId="4" borderId="0" xfId="0" applyNumberFormat="1" applyFont="1" applyFill="1" applyAlignment="1">
      <alignment horizontal="center"/>
    </xf>
    <xf numFmtId="4" fontId="19" fillId="4" borderId="0" xfId="0" applyNumberFormat="1" applyFont="1" applyFill="1" applyAlignment="1">
      <alignment horizontal="center"/>
    </xf>
    <xf numFmtId="4" fontId="19" fillId="4" borderId="4" xfId="0" applyNumberFormat="1" applyFont="1" applyFill="1" applyBorder="1" applyAlignment="1">
      <alignment horizontal="center"/>
    </xf>
    <xf numFmtId="1" fontId="19" fillId="4" borderId="4" xfId="0" applyNumberFormat="1" applyFont="1" applyFill="1" applyBorder="1" applyAlignment="1">
      <alignment horizontal="center"/>
    </xf>
    <xf numFmtId="1" fontId="19" fillId="4" borderId="7" xfId="0" applyNumberFormat="1" applyFont="1" applyFill="1" applyBorder="1" applyAlignment="1">
      <alignment horizontal="center"/>
    </xf>
    <xf numFmtId="4" fontId="21" fillId="4" borderId="4" xfId="0" applyNumberFormat="1" applyFont="1" applyFill="1" applyBorder="1" applyAlignment="1">
      <alignment horizontal="center"/>
    </xf>
    <xf numFmtId="1" fontId="21" fillId="4" borderId="4" xfId="0" applyNumberFormat="1" applyFont="1" applyFill="1" applyBorder="1" applyAlignment="1">
      <alignment horizontal="center"/>
    </xf>
    <xf numFmtId="4" fontId="18" fillId="3" borderId="3" xfId="0" applyNumberFormat="1" applyFont="1" applyFill="1" applyBorder="1" applyAlignment="1">
      <alignment horizontal="center"/>
    </xf>
    <xf numFmtId="1" fontId="21" fillId="3" borderId="7" xfId="0" applyNumberFormat="1" applyFont="1" applyFill="1" applyBorder="1" applyAlignment="1">
      <alignment horizontal="center"/>
    </xf>
    <xf numFmtId="4" fontId="21" fillId="3" borderId="9" xfId="0" applyNumberFormat="1" applyFont="1" applyFill="1" applyBorder="1" applyAlignment="1">
      <alignment horizontal="center"/>
    </xf>
    <xf numFmtId="3" fontId="21" fillId="3" borderId="10" xfId="0" applyNumberFormat="1" applyFont="1" applyFill="1" applyBorder="1" applyAlignment="1">
      <alignment horizontal="center"/>
    </xf>
    <xf numFmtId="4" fontId="21" fillId="3" borderId="12" xfId="0" applyNumberFormat="1" applyFont="1" applyFill="1" applyBorder="1" applyAlignment="1">
      <alignment horizontal="center"/>
    </xf>
    <xf numFmtId="3" fontId="21" fillId="3" borderId="12" xfId="0" applyNumberFormat="1" applyFont="1" applyFill="1" applyBorder="1" applyAlignment="1">
      <alignment horizontal="center"/>
    </xf>
    <xf numFmtId="4" fontId="21" fillId="3" borderId="8" xfId="0" applyNumberFormat="1" applyFont="1" applyFill="1" applyBorder="1" applyAlignment="1">
      <alignment horizontal="center"/>
    </xf>
    <xf numFmtId="1" fontId="21" fillId="3" borderId="8" xfId="0" applyNumberFormat="1" applyFont="1" applyFill="1" applyBorder="1" applyAlignment="1">
      <alignment horizontal="center"/>
    </xf>
    <xf numFmtId="3" fontId="21" fillId="3" borderId="8" xfId="0" applyNumberFormat="1" applyFont="1" applyFill="1" applyBorder="1" applyAlignment="1">
      <alignment horizontal="center"/>
    </xf>
    <xf numFmtId="4" fontId="21" fillId="3" borderId="10" xfId="0" applyNumberFormat="1" applyFont="1" applyFill="1" applyBorder="1" applyAlignment="1">
      <alignment horizontal="center"/>
    </xf>
    <xf numFmtId="2" fontId="21" fillId="3" borderId="8" xfId="0" applyNumberFormat="1" applyFont="1" applyFill="1" applyBorder="1" applyAlignment="1">
      <alignment horizontal="center"/>
    </xf>
    <xf numFmtId="1" fontId="21" fillId="3" borderId="10" xfId="0" applyNumberFormat="1" applyFont="1" applyFill="1" applyBorder="1" applyAlignment="1">
      <alignment horizontal="center"/>
    </xf>
    <xf numFmtId="4" fontId="18" fillId="3" borderId="0" xfId="0" applyNumberFormat="1" applyFont="1" applyFill="1" applyAlignment="1">
      <alignment horizontal="center"/>
    </xf>
    <xf numFmtId="1" fontId="19" fillId="4" borderId="0" xfId="0" applyNumberFormat="1" applyFont="1" applyFill="1" applyAlignment="1">
      <alignment horizontal="center"/>
    </xf>
    <xf numFmtId="0" fontId="19" fillId="3" borderId="0" xfId="0" applyFont="1" applyFill="1" applyAlignment="1">
      <alignment horizontal="center"/>
    </xf>
    <xf numFmtId="3" fontId="19" fillId="3" borderId="0" xfId="0" applyNumberFormat="1" applyFont="1" applyFill="1" applyAlignment="1">
      <alignment horizontal="center"/>
    </xf>
    <xf numFmtId="0" fontId="23" fillId="5" borderId="0" xfId="0" applyFont="1" applyFill="1" applyAlignment="1">
      <alignment horizontal="center"/>
    </xf>
    <xf numFmtId="3" fontId="19" fillId="5" borderId="0" xfId="0" applyNumberFormat="1" applyFont="1" applyFill="1" applyAlignment="1">
      <alignment horizontal="center"/>
    </xf>
    <xf numFmtId="0" fontId="19" fillId="4" borderId="0" xfId="0" applyFont="1" applyFill="1" applyAlignment="1">
      <alignment horizontal="center"/>
    </xf>
    <xf numFmtId="3" fontId="27" fillId="10" borderId="0" xfId="0" applyNumberFormat="1" applyFont="1" applyFill="1" applyAlignment="1">
      <alignment horizontal="left"/>
    </xf>
    <xf numFmtId="0" fontId="30" fillId="3" borderId="0" xfId="0" applyFont="1" applyFill="1" applyAlignment="1">
      <alignment horizontal="center"/>
    </xf>
    <xf numFmtId="0" fontId="26" fillId="3" borderId="0" xfId="0" applyFont="1" applyFill="1" applyAlignment="1">
      <alignment horizontal="left"/>
    </xf>
    <xf numFmtId="0" fontId="31" fillId="3" borderId="11" xfId="0" applyFont="1" applyFill="1" applyBorder="1" applyAlignment="1">
      <alignment horizontal="center"/>
    </xf>
    <xf numFmtId="1" fontId="26" fillId="3" borderId="0" xfId="0" applyNumberFormat="1" applyFont="1" applyFill="1" applyAlignment="1">
      <alignment horizontal="center"/>
    </xf>
    <xf numFmtId="14" fontId="26" fillId="3" borderId="0" xfId="0" applyNumberFormat="1" applyFont="1" applyFill="1" applyAlignment="1">
      <alignment horizontal="center"/>
    </xf>
    <xf numFmtId="0" fontId="26" fillId="10" borderId="0" xfId="0" applyFont="1" applyFill="1" applyAlignment="1">
      <alignment horizontal="left"/>
    </xf>
    <xf numFmtId="4" fontId="26" fillId="3" borderId="0" xfId="0" applyNumberFormat="1" applyFont="1" applyFill="1" applyAlignment="1">
      <alignment horizontal="right"/>
    </xf>
    <xf numFmtId="14" fontId="26" fillId="3" borderId="0" xfId="0" applyNumberFormat="1" applyFont="1" applyFill="1" applyAlignment="1">
      <alignment horizontal="left"/>
    </xf>
    <xf numFmtId="0" fontId="32" fillId="3" borderId="0" xfId="0" applyFont="1" applyFill="1" applyAlignment="1">
      <alignment horizontal="center"/>
    </xf>
    <xf numFmtId="4" fontId="32" fillId="3" borderId="0" xfId="0" applyNumberFormat="1" applyFont="1" applyFill="1"/>
    <xf numFmtId="4" fontId="33" fillId="3" borderId="11" xfId="0" applyNumberFormat="1" applyFont="1" applyFill="1" applyBorder="1" applyAlignment="1">
      <alignment horizontal="center"/>
    </xf>
    <xf numFmtId="10" fontId="26" fillId="3" borderId="0" xfId="0" applyNumberFormat="1" applyFont="1" applyFill="1" applyAlignment="1">
      <alignment horizontal="right"/>
    </xf>
    <xf numFmtId="1" fontId="26" fillId="3" borderId="0" xfId="0" applyNumberFormat="1" applyFont="1" applyFill="1" applyAlignment="1">
      <alignment horizontal="right"/>
    </xf>
    <xf numFmtId="0" fontId="34" fillId="3" borderId="0" xfId="0" applyFont="1" applyFill="1"/>
    <xf numFmtId="0" fontId="31" fillId="3" borderId="0" xfId="0" applyFont="1" applyFill="1" applyAlignment="1">
      <alignment horizontal="center"/>
    </xf>
    <xf numFmtId="10" fontId="31" fillId="3" borderId="11" xfId="0" applyNumberFormat="1" applyFont="1" applyFill="1" applyBorder="1" applyAlignment="1">
      <alignment horizontal="right"/>
    </xf>
    <xf numFmtId="1" fontId="31" fillId="3" borderId="11" xfId="0" applyNumberFormat="1" applyFont="1" applyFill="1" applyBorder="1" applyAlignment="1">
      <alignment horizontal="right"/>
    </xf>
    <xf numFmtId="0" fontId="32" fillId="3" borderId="0" xfId="0" applyFont="1" applyFill="1" applyAlignment="1">
      <alignment horizontal="left"/>
    </xf>
    <xf numFmtId="16" fontId="26" fillId="3" borderId="0" xfId="0" applyNumberFormat="1" applyFont="1" applyFill="1"/>
    <xf numFmtId="10" fontId="26" fillId="3" borderId="0" xfId="0" applyNumberFormat="1" applyFont="1" applyFill="1"/>
    <xf numFmtId="1" fontId="26" fillId="3" borderId="0" xfId="0" applyNumberFormat="1" applyFont="1" applyFill="1"/>
    <xf numFmtId="0" fontId="35" fillId="3" borderId="0" xfId="0" applyFont="1" applyFill="1" applyAlignment="1">
      <alignment horizontal="center"/>
    </xf>
    <xf numFmtId="0" fontId="36" fillId="3" borderId="12" xfId="0" applyFont="1" applyFill="1" applyBorder="1" applyAlignment="1">
      <alignment horizontal="center"/>
    </xf>
    <xf numFmtId="0" fontId="36" fillId="3" borderId="8" xfId="0" applyFont="1" applyFill="1" applyBorder="1" applyAlignment="1">
      <alignment horizontal="center"/>
    </xf>
    <xf numFmtId="0" fontId="36" fillId="3" borderId="5" xfId="0" applyFont="1" applyFill="1" applyBorder="1" applyAlignment="1">
      <alignment horizontal="center"/>
    </xf>
    <xf numFmtId="0" fontId="36" fillId="5" borderId="5" xfId="0" applyFont="1" applyFill="1" applyBorder="1" applyAlignment="1">
      <alignment horizontal="center"/>
    </xf>
    <xf numFmtId="0" fontId="26" fillId="3" borderId="8" xfId="0" applyFont="1" applyFill="1" applyBorder="1"/>
    <xf numFmtId="4" fontId="26" fillId="4" borderId="0" xfId="0" applyNumberFormat="1" applyFont="1" applyFill="1"/>
    <xf numFmtId="3" fontId="26" fillId="4" borderId="0" xfId="0" applyNumberFormat="1" applyFont="1" applyFill="1"/>
    <xf numFmtId="1" fontId="26" fillId="3" borderId="0" xfId="0" applyNumberFormat="1" applyFont="1" applyFill="1" applyAlignment="1">
      <alignment horizontal="left"/>
    </xf>
    <xf numFmtId="4" fontId="26" fillId="3" borderId="17" xfId="0" applyNumberFormat="1" applyFont="1" applyFill="1" applyBorder="1" applyAlignment="1">
      <alignment horizontal="right"/>
    </xf>
    <xf numFmtId="0" fontId="37" fillId="3" borderId="0" xfId="0" applyFont="1" applyFill="1"/>
    <xf numFmtId="4" fontId="31" fillId="3" borderId="0" xfId="0" applyNumberFormat="1" applyFont="1" applyFill="1" applyAlignment="1">
      <alignment horizontal="right"/>
    </xf>
    <xf numFmtId="10" fontId="31" fillId="3" borderId="0" xfId="0" applyNumberFormat="1" applyFont="1" applyFill="1" applyAlignment="1">
      <alignment horizontal="right"/>
    </xf>
    <xf numFmtId="0" fontId="38" fillId="10" borderId="0" xfId="0" applyFont="1" applyFill="1" applyAlignment="1">
      <alignment horizontal="right"/>
    </xf>
    <xf numFmtId="0" fontId="38" fillId="10" borderId="0" xfId="0" applyFont="1" applyFill="1" applyAlignment="1">
      <alignment horizontal="left"/>
    </xf>
    <xf numFmtId="4" fontId="18" fillId="0" borderId="0" xfId="0" applyNumberFormat="1" applyFont="1"/>
    <xf numFmtId="3" fontId="21" fillId="3" borderId="7" xfId="0" applyNumberFormat="1" applyFont="1" applyFill="1" applyBorder="1" applyAlignment="1">
      <alignment horizontal="right"/>
    </xf>
    <xf numFmtId="0" fontId="26" fillId="3" borderId="7" xfId="0" applyFont="1" applyFill="1" applyBorder="1"/>
    <xf numFmtId="3" fontId="21" fillId="3" borderId="7" xfId="0" applyNumberFormat="1" applyFont="1" applyFill="1" applyBorder="1"/>
    <xf numFmtId="4" fontId="21" fillId="3" borderId="3" xfId="0" applyNumberFormat="1" applyFont="1" applyFill="1" applyBorder="1"/>
    <xf numFmtId="0" fontId="26" fillId="3" borderId="9" xfId="0" applyFont="1" applyFill="1" applyBorder="1"/>
    <xf numFmtId="3" fontId="21" fillId="3" borderId="8" xfId="0" applyNumberFormat="1" applyFont="1" applyFill="1" applyBorder="1"/>
    <xf numFmtId="1" fontId="21" fillId="3" borderId="8" xfId="0" applyNumberFormat="1" applyFont="1" applyFill="1" applyBorder="1"/>
    <xf numFmtId="4" fontId="21" fillId="3" borderId="7" xfId="0" applyNumberFormat="1" applyFont="1" applyFill="1" applyBorder="1" applyAlignment="1">
      <alignment horizontal="right"/>
    </xf>
    <xf numFmtId="0" fontId="26" fillId="3" borderId="3" xfId="0" applyFont="1" applyFill="1" applyBorder="1"/>
    <xf numFmtId="4" fontId="26" fillId="3" borderId="3" xfId="0" applyNumberFormat="1" applyFont="1" applyFill="1" applyBorder="1" applyAlignment="1">
      <alignment horizontal="right"/>
    </xf>
    <xf numFmtId="0" fontId="26" fillId="0" borderId="0" xfId="0" applyFont="1"/>
    <xf numFmtId="0" fontId="16" fillId="0" borderId="0" xfId="0" applyFont="1" applyAlignment="1">
      <alignment horizontal="left" vertical="center"/>
    </xf>
    <xf numFmtId="0" fontId="17" fillId="3" borderId="5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8" fillId="1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2" fontId="26" fillId="3" borderId="7" xfId="0" applyNumberFormat="1" applyFont="1" applyFill="1" applyBorder="1" applyAlignment="1">
      <alignment horizontal="right"/>
    </xf>
    <xf numFmtId="3" fontId="21" fillId="3" borderId="6" xfId="0" applyNumberFormat="1" applyFont="1" applyFill="1" applyBorder="1" applyAlignment="1">
      <alignment horizontal="right"/>
    </xf>
    <xf numFmtId="2" fontId="21" fillId="3" borderId="7" xfId="0" applyNumberFormat="1" applyFont="1" applyFill="1" applyBorder="1" applyAlignment="1">
      <alignment horizontal="right"/>
    </xf>
    <xf numFmtId="3" fontId="21" fillId="3" borderId="4" xfId="0" applyNumberFormat="1" applyFont="1" applyFill="1" applyBorder="1"/>
    <xf numFmtId="0" fontId="30" fillId="3" borderId="0" xfId="0" applyFont="1" applyFill="1" applyAlignment="1">
      <alignment horizontal="left"/>
    </xf>
    <xf numFmtId="3" fontId="26" fillId="3" borderId="0" xfId="0" applyNumberFormat="1" applyFont="1" applyFill="1"/>
    <xf numFmtId="0" fontId="35" fillId="3" borderId="12" xfId="0" applyFont="1" applyFill="1" applyBorder="1" applyAlignment="1">
      <alignment horizontal="center"/>
    </xf>
    <xf numFmtId="0" fontId="35" fillId="3" borderId="8" xfId="0" applyFont="1" applyFill="1" applyBorder="1" applyAlignment="1">
      <alignment horizontal="center"/>
    </xf>
    <xf numFmtId="0" fontId="35" fillId="3" borderId="5" xfId="0" applyFont="1" applyFill="1" applyBorder="1" applyAlignment="1">
      <alignment horizontal="center"/>
    </xf>
    <xf numFmtId="0" fontId="35" fillId="5" borderId="5" xfId="0" applyFont="1" applyFill="1" applyBorder="1" applyAlignment="1">
      <alignment horizontal="center"/>
    </xf>
    <xf numFmtId="0" fontId="26" fillId="3" borderId="3" xfId="0" applyFont="1" applyFill="1" applyBorder="1" applyAlignment="1">
      <alignment horizontal="center"/>
    </xf>
    <xf numFmtId="0" fontId="26" fillId="3" borderId="6" xfId="0" applyFont="1" applyFill="1" applyBorder="1" applyAlignment="1">
      <alignment horizontal="center"/>
    </xf>
    <xf numFmtId="0" fontId="26" fillId="3" borderId="4" xfId="0" applyFont="1" applyFill="1" applyBorder="1" applyAlignment="1">
      <alignment horizontal="center"/>
    </xf>
    <xf numFmtId="3" fontId="26" fillId="3" borderId="7" xfId="0" applyNumberFormat="1" applyFont="1" applyFill="1" applyBorder="1"/>
    <xf numFmtId="4" fontId="26" fillId="3" borderId="3" xfId="0" applyNumberFormat="1" applyFont="1" applyFill="1" applyBorder="1"/>
    <xf numFmtId="3" fontId="26" fillId="3" borderId="4" xfId="0" applyNumberFormat="1" applyFont="1" applyFill="1" applyBorder="1"/>
    <xf numFmtId="4" fontId="26" fillId="3" borderId="9" xfId="0" applyNumberFormat="1" applyFont="1" applyFill="1" applyBorder="1"/>
    <xf numFmtId="3" fontId="26" fillId="3" borderId="8" xfId="0" applyNumberFormat="1" applyFont="1" applyFill="1" applyBorder="1"/>
    <xf numFmtId="4" fontId="26" fillId="3" borderId="12" xfId="0" applyNumberFormat="1" applyFont="1" applyFill="1" applyBorder="1"/>
    <xf numFmtId="3" fontId="26" fillId="3" borderId="10" xfId="0" applyNumberFormat="1" applyFont="1" applyFill="1" applyBorder="1"/>
    <xf numFmtId="4" fontId="21" fillId="3" borderId="0" xfId="0" applyNumberFormat="1" applyFont="1" applyFill="1" applyAlignment="1">
      <alignment horizontal="right"/>
    </xf>
    <xf numFmtId="0" fontId="35" fillId="5" borderId="6" xfId="0" applyFont="1" applyFill="1" applyBorder="1" applyAlignment="1">
      <alignment horizontal="center"/>
    </xf>
    <xf numFmtId="4" fontId="21" fillId="3" borderId="6" xfId="0" applyNumberFormat="1" applyFont="1" applyFill="1" applyBorder="1" applyAlignment="1">
      <alignment horizontal="right"/>
    </xf>
    <xf numFmtId="4" fontId="21" fillId="3" borderId="7" xfId="0" applyNumberFormat="1" applyFont="1" applyFill="1" applyBorder="1"/>
    <xf numFmtId="4" fontId="26" fillId="3" borderId="8" xfId="0" applyNumberFormat="1" applyFont="1" applyFill="1" applyBorder="1"/>
    <xf numFmtId="2" fontId="21" fillId="3" borderId="6" xfId="0" applyNumberFormat="1" applyFont="1" applyFill="1" applyBorder="1" applyAlignment="1">
      <alignment horizontal="right"/>
    </xf>
    <xf numFmtId="0" fontId="23" fillId="3" borderId="5" xfId="0" applyFont="1" applyFill="1" applyBorder="1" applyAlignment="1">
      <alignment horizontal="center"/>
    </xf>
    <xf numFmtId="0" fontId="23" fillId="5" borderId="5" xfId="0" applyFont="1" applyFill="1" applyBorder="1" applyAlignment="1">
      <alignment horizontal="center"/>
    </xf>
    <xf numFmtId="4" fontId="23" fillId="4" borderId="0" xfId="0" applyNumberFormat="1" applyFont="1" applyFill="1"/>
    <xf numFmtId="0" fontId="23" fillId="3" borderId="10" xfId="0" applyFont="1" applyFill="1" applyBorder="1" applyAlignment="1">
      <alignment horizontal="right"/>
    </xf>
    <xf numFmtId="0" fontId="23" fillId="3" borderId="8" xfId="0" applyFont="1" applyFill="1" applyBorder="1" applyAlignment="1">
      <alignment horizontal="center"/>
    </xf>
    <xf numFmtId="0" fontId="26" fillId="3" borderId="13" xfId="0" applyFont="1" applyFill="1" applyBorder="1"/>
    <xf numFmtId="0" fontId="26" fillId="3" borderId="4" xfId="0" applyFont="1" applyFill="1" applyBorder="1"/>
    <xf numFmtId="4" fontId="26" fillId="3" borderId="4" xfId="0" applyNumberFormat="1" applyFont="1" applyFill="1" applyBorder="1"/>
    <xf numFmtId="0" fontId="26" fillId="3" borderId="12" xfId="0" applyFont="1" applyFill="1" applyBorder="1"/>
    <xf numFmtId="4" fontId="26" fillId="3" borderId="10" xfId="0" applyNumberFormat="1" applyFont="1" applyFill="1" applyBorder="1"/>
    <xf numFmtId="0" fontId="26" fillId="4" borderId="0" xfId="0" applyFont="1" applyFill="1"/>
    <xf numFmtId="0" fontId="39" fillId="3" borderId="5" xfId="0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14" fontId="26" fillId="0" borderId="19" xfId="0" applyNumberFormat="1" applyFont="1" applyBorder="1" applyAlignment="1">
      <alignment horizontal="center"/>
    </xf>
    <xf numFmtId="0" fontId="23" fillId="3" borderId="0" xfId="0" applyFont="1" applyFill="1" applyAlignment="1">
      <alignment horizontal="center"/>
    </xf>
    <xf numFmtId="3" fontId="26" fillId="3" borderId="3" xfId="0" applyNumberFormat="1" applyFont="1" applyFill="1" applyBorder="1"/>
    <xf numFmtId="3" fontId="26" fillId="3" borderId="9" xfId="0" applyNumberFormat="1" applyFont="1" applyFill="1" applyBorder="1"/>
    <xf numFmtId="4" fontId="26" fillId="3" borderId="7" xfId="0" applyNumberFormat="1" applyFont="1" applyFill="1" applyBorder="1"/>
    <xf numFmtId="4" fontId="21" fillId="3" borderId="13" xfId="0" applyNumberFormat="1" applyFont="1" applyFill="1" applyBorder="1" applyAlignment="1">
      <alignment horizontal="right"/>
    </xf>
    <xf numFmtId="4" fontId="31" fillId="3" borderId="18" xfId="0" applyNumberFormat="1" applyFont="1" applyFill="1" applyBorder="1" applyAlignment="1">
      <alignment horizontal="right"/>
    </xf>
    <xf numFmtId="2" fontId="26" fillId="3" borderId="3" xfId="0" applyNumberFormat="1" applyFont="1" applyFill="1" applyBorder="1" applyAlignment="1">
      <alignment horizontal="right"/>
    </xf>
    <xf numFmtId="3" fontId="21" fillId="3" borderId="15" xfId="0" applyNumberFormat="1" applyFont="1" applyFill="1" applyBorder="1" applyAlignment="1">
      <alignment horizontal="right"/>
    </xf>
    <xf numFmtId="4" fontId="33" fillId="3" borderId="0" xfId="0" applyNumberFormat="1" applyFont="1" applyFill="1" applyAlignment="1">
      <alignment horizontal="center"/>
    </xf>
    <xf numFmtId="4" fontId="31" fillId="3" borderId="0" xfId="0" applyNumberFormat="1" applyFont="1" applyFill="1"/>
    <xf numFmtId="1" fontId="31" fillId="3" borderId="0" xfId="0" applyNumberFormat="1" applyFont="1" applyFill="1" applyAlignment="1">
      <alignment horizontal="right"/>
    </xf>
    <xf numFmtId="4" fontId="26" fillId="10" borderId="0" xfId="0" applyNumberFormat="1" applyFont="1" applyFill="1"/>
    <xf numFmtId="1" fontId="26" fillId="3" borderId="0" xfId="0" quotePrefix="1" applyNumberFormat="1" applyFont="1" applyFill="1" applyAlignment="1">
      <alignment horizontal="center"/>
    </xf>
    <xf numFmtId="0" fontId="0" fillId="17" borderId="0" xfId="0" applyFill="1"/>
    <xf numFmtId="0" fontId="11" fillId="17" borderId="0" xfId="0" applyFont="1" applyFill="1"/>
    <xf numFmtId="0" fontId="40" fillId="0" borderId="0" xfId="0" applyFont="1" applyAlignment="1">
      <alignment horizontal="right"/>
    </xf>
    <xf numFmtId="4" fontId="40" fillId="0" borderId="0" xfId="0" applyNumberFormat="1" applyFont="1"/>
    <xf numFmtId="0" fontId="0" fillId="18" borderId="0" xfId="0" applyFill="1"/>
    <xf numFmtId="0" fontId="11" fillId="18" borderId="0" xfId="0" applyFont="1" applyFill="1"/>
    <xf numFmtId="0" fontId="2" fillId="0" borderId="0" xfId="0" applyFont="1"/>
    <xf numFmtId="4" fontId="21" fillId="3" borderId="7" xfId="0" applyNumberFormat="1" applyFont="1" applyFill="1" applyBorder="1" applyAlignment="1">
      <alignment horizontal="center"/>
    </xf>
    <xf numFmtId="0" fontId="21" fillId="3" borderId="6" xfId="0" applyFont="1" applyFill="1" applyBorder="1"/>
    <xf numFmtId="10" fontId="21" fillId="3" borderId="7" xfId="0" applyNumberFormat="1" applyFont="1" applyFill="1" applyBorder="1" applyAlignment="1">
      <alignment horizontal="center"/>
    </xf>
    <xf numFmtId="10" fontId="21" fillId="3" borderId="8" xfId="0" applyNumberFormat="1" applyFont="1" applyFill="1" applyBorder="1" applyAlignment="1">
      <alignment horizontal="center"/>
    </xf>
    <xf numFmtId="0" fontId="0" fillId="19" borderId="0" xfId="0" applyFill="1"/>
    <xf numFmtId="4" fontId="27" fillId="10" borderId="0" xfId="0" applyNumberFormat="1" applyFont="1" applyFill="1" applyAlignment="1">
      <alignment horizontal="right"/>
    </xf>
    <xf numFmtId="0" fontId="38" fillId="10" borderId="0" xfId="0" applyFont="1" applyFill="1" applyAlignment="1">
      <alignment horizontal="right"/>
    </xf>
    <xf numFmtId="0" fontId="26" fillId="10" borderId="0" xfId="0" applyFont="1" applyFill="1" applyAlignment="1">
      <alignment horizontal="left"/>
    </xf>
    <xf numFmtId="4" fontId="26" fillId="3" borderId="0" xfId="0" applyNumberFormat="1" applyFont="1" applyFill="1" applyAlignment="1">
      <alignment horizontal="right"/>
    </xf>
    <xf numFmtId="4" fontId="26" fillId="3" borderId="0" xfId="0" applyNumberFormat="1" applyFont="1" applyFill="1" applyAlignment="1">
      <alignment horizontal="center"/>
    </xf>
    <xf numFmtId="0" fontId="36" fillId="3" borderId="14" xfId="0" applyFont="1" applyFill="1" applyBorder="1" applyAlignment="1">
      <alignment horizontal="center"/>
    </xf>
    <xf numFmtId="0" fontId="36" fillId="3" borderId="25" xfId="0" applyFont="1" applyFill="1" applyBorder="1" applyAlignment="1">
      <alignment horizontal="center"/>
    </xf>
    <xf numFmtId="4" fontId="31" fillId="3" borderId="11" xfId="0" applyNumberFormat="1" applyFont="1" applyFill="1" applyBorder="1" applyAlignment="1">
      <alignment horizontal="right"/>
    </xf>
    <xf numFmtId="0" fontId="35" fillId="3" borderId="0" xfId="0" applyFont="1" applyFill="1" applyAlignment="1">
      <alignment horizontal="center"/>
    </xf>
    <xf numFmtId="4" fontId="31" fillId="3" borderId="26" xfId="0" applyNumberFormat="1" applyFont="1" applyFill="1" applyBorder="1" applyAlignment="1">
      <alignment horizontal="center"/>
    </xf>
    <xf numFmtId="4" fontId="31" fillId="3" borderId="23" xfId="0" applyNumberFormat="1" applyFont="1" applyFill="1" applyBorder="1" applyAlignment="1">
      <alignment horizontal="center"/>
    </xf>
    <xf numFmtId="4" fontId="26" fillId="3" borderId="24" xfId="0" applyNumberFormat="1" applyFont="1" applyFill="1" applyBorder="1" applyAlignment="1">
      <alignment horizontal="right"/>
    </xf>
    <xf numFmtId="0" fontId="31" fillId="3" borderId="20" xfId="0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/>
    </xf>
    <xf numFmtId="0" fontId="31" fillId="3" borderId="22" xfId="0" applyFont="1" applyFill="1" applyBorder="1" applyAlignment="1">
      <alignment horizontal="center"/>
    </xf>
    <xf numFmtId="0" fontId="31" fillId="3" borderId="23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center"/>
    </xf>
    <xf numFmtId="4" fontId="26" fillId="3" borderId="17" xfId="0" applyNumberFormat="1" applyFont="1" applyFill="1" applyBorder="1" applyAlignment="1">
      <alignment horizontal="right"/>
    </xf>
    <xf numFmtId="0" fontId="31" fillId="3" borderId="0" xfId="0" applyFont="1" applyFill="1" applyAlignment="1">
      <alignment horizontal="center"/>
    </xf>
    <xf numFmtId="0" fontId="26" fillId="3" borderId="0" xfId="0" applyFont="1" applyFill="1" applyAlignment="1">
      <alignment vertical="top"/>
    </xf>
    <xf numFmtId="4" fontId="26" fillId="3" borderId="27" xfId="0" applyNumberFormat="1" applyFont="1" applyFill="1" applyBorder="1" applyAlignment="1">
      <alignment horizontal="right"/>
    </xf>
    <xf numFmtId="4" fontId="26" fillId="3" borderId="28" xfId="0" applyNumberFormat="1" applyFont="1" applyFill="1" applyBorder="1" applyAlignment="1">
      <alignment horizontal="right"/>
    </xf>
    <xf numFmtId="4" fontId="31" fillId="3" borderId="26" xfId="0" applyNumberFormat="1" applyFont="1" applyFill="1" applyBorder="1" applyAlignment="1">
      <alignment horizontal="right"/>
    </xf>
    <xf numFmtId="4" fontId="31" fillId="3" borderId="23" xfId="0" applyNumberFormat="1" applyFont="1" applyFill="1" applyBorder="1" applyAlignment="1">
      <alignment horizontal="right"/>
    </xf>
    <xf numFmtId="0" fontId="26" fillId="3" borderId="24" xfId="0" applyFont="1" applyFill="1" applyBorder="1" applyAlignment="1">
      <alignment horizontal="left"/>
    </xf>
    <xf numFmtId="4" fontId="26" fillId="3" borderId="0" xfId="0" applyNumberFormat="1" applyFont="1" applyFill="1" applyAlignment="1">
      <alignment horizontal="left"/>
    </xf>
    <xf numFmtId="0" fontId="35" fillId="3" borderId="14" xfId="0" applyFont="1" applyFill="1" applyBorder="1" applyAlignment="1">
      <alignment horizontal="center"/>
    </xf>
    <xf numFmtId="0" fontId="35" fillId="3" borderId="25" xfId="0" applyFont="1" applyFill="1" applyBorder="1" applyAlignment="1">
      <alignment horizontal="center"/>
    </xf>
    <xf numFmtId="0" fontId="39" fillId="3" borderId="14" xfId="0" applyFont="1" applyFill="1" applyBorder="1" applyAlignment="1">
      <alignment horizontal="center"/>
    </xf>
    <xf numFmtId="0" fontId="39" fillId="3" borderId="25" xfId="0" applyFont="1" applyFill="1" applyBorder="1" applyAlignment="1">
      <alignment horizontal="center"/>
    </xf>
    <xf numFmtId="0" fontId="23" fillId="5" borderId="14" xfId="0" applyFont="1" applyFill="1" applyBorder="1" applyAlignment="1">
      <alignment horizontal="center"/>
    </xf>
    <xf numFmtId="0" fontId="23" fillId="5" borderId="25" xfId="0" applyFont="1" applyFill="1" applyBorder="1" applyAlignment="1">
      <alignment horizontal="center"/>
    </xf>
    <xf numFmtId="0" fontId="23" fillId="3" borderId="14" xfId="0" applyFont="1" applyFill="1" applyBorder="1" applyAlignment="1">
      <alignment horizontal="center"/>
    </xf>
    <xf numFmtId="0" fontId="23" fillId="3" borderId="16" xfId="0" applyFont="1" applyFill="1" applyBorder="1" applyAlignment="1">
      <alignment horizontal="center"/>
    </xf>
    <xf numFmtId="0" fontId="23" fillId="3" borderId="25" xfId="0" applyFont="1" applyFill="1" applyBorder="1" applyAlignment="1">
      <alignment horizontal="center"/>
    </xf>
    <xf numFmtId="4" fontId="26" fillId="0" borderId="24" xfId="0" applyNumberFormat="1" applyFont="1" applyBorder="1" applyAlignment="1">
      <alignment horizontal="center"/>
    </xf>
    <xf numFmtId="4" fontId="26" fillId="0" borderId="29" xfId="0" applyNumberFormat="1" applyFont="1" applyBorder="1" applyAlignment="1">
      <alignment horizontal="center"/>
    </xf>
    <xf numFmtId="0" fontId="26" fillId="3" borderId="0" xfId="0" applyFont="1" applyFill="1" applyAlignment="1">
      <alignment horizontal="left"/>
    </xf>
    <xf numFmtId="4" fontId="26" fillId="3" borderId="24" xfId="0" applyNumberFormat="1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0" fontId="31" fillId="3" borderId="26" xfId="0" applyFont="1" applyFill="1" applyBorder="1" applyAlignment="1">
      <alignment horizontal="center"/>
    </xf>
    <xf numFmtId="0" fontId="31" fillId="3" borderId="18" xfId="0" applyFont="1" applyFill="1" applyBorder="1" applyAlignment="1">
      <alignment horizontal="center"/>
    </xf>
    <xf numFmtId="0" fontId="24" fillId="3" borderId="0" xfId="0" applyFont="1" applyFill="1" applyAlignment="1">
      <alignment horizontal="center" vertical="center"/>
    </xf>
    <xf numFmtId="0" fontId="17" fillId="3" borderId="13" xfId="0" applyFont="1" applyFill="1" applyBorder="1" applyAlignment="1">
      <alignment horizontal="center" vertical="top"/>
    </xf>
    <xf numFmtId="0" fontId="17" fillId="3" borderId="14" xfId="0" applyFont="1" applyFill="1" applyBorder="1" applyAlignment="1">
      <alignment horizontal="center" vertical="top"/>
    </xf>
    <xf numFmtId="0" fontId="20" fillId="3" borderId="14" xfId="0" applyFont="1" applyFill="1" applyBorder="1" applyAlignment="1">
      <alignment horizontal="center"/>
    </xf>
    <xf numFmtId="0" fontId="19" fillId="5" borderId="6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top"/>
    </xf>
    <xf numFmtId="0" fontId="19" fillId="5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4" fontId="21" fillId="3" borderId="0" xfId="0" applyNumberFormat="1" applyFont="1" applyFill="1" applyAlignment="1">
      <alignment horizontal="center"/>
    </xf>
    <xf numFmtId="0" fontId="20" fillId="5" borderId="14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6" fillId="3" borderId="24" xfId="0" applyFont="1" applyFill="1" applyBorder="1" applyAlignment="1"/>
    <xf numFmtId="0" fontId="26" fillId="10" borderId="0" xfId="0" applyFont="1" applyFill="1" applyAlignment="1"/>
    <xf numFmtId="4" fontId="26" fillId="10" borderId="0" xfId="0" applyNumberFormat="1" applyFont="1" applyFill="1" applyAlignment="1"/>
    <xf numFmtId="4" fontId="31" fillId="3" borderId="11" xfId="0" applyNumberFormat="1" applyFont="1" applyFill="1" applyBorder="1" applyAlignment="1"/>
    <xf numFmtId="14" fontId="26" fillId="3" borderId="0" xfId="0" applyNumberFormat="1" applyFont="1" applyFill="1" applyAlignment="1"/>
    <xf numFmtId="0" fontId="26" fillId="3" borderId="0" xfId="0" applyFont="1" applyFill="1" applyAlignment="1"/>
    <xf numFmtId="4" fontId="26" fillId="3" borderId="0" xfId="0" applyNumberFormat="1" applyFont="1" applyFill="1" applyAlignment="1"/>
  </cellXfs>
  <cellStyles count="3">
    <cellStyle name="Neutral" xfId="1" builtinId="28" customBuiltin="1"/>
    <cellStyle name="Normal" xfId="0" builtinId="0"/>
    <cellStyle name="Total" xfId="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2"/>
      <c:hPercent val="38"/>
      <c:rotY val="33"/>
      <c:depthPercent val="100"/>
      <c:rAngAx val="1"/>
    </c:view3D>
    <c:floor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shade val="64706"/>
                <a:invGamma/>
              </a:srgbClr>
            </a:gs>
          </a:gsLst>
          <a:path path="rect">
            <a:fillToRect l="50000" t="50000" r="50000" b="50000"/>
          </a:path>
        </a:gradFill>
        <a:ln w="3175">
          <a:solidFill>
            <a:srgbClr val="99CCFF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969350988601752E-2"/>
          <c:y val="6.7902497852406665E-2"/>
          <c:w val="0.93121530156732513"/>
          <c:h val="0.8481562977841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433530902568539E-3"/>
                  <c:y val="-1.285468980791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FC-4C1B-87A7-D55930FD9780}"/>
                </c:ext>
              </c:extLst>
            </c:dLbl>
            <c:dLbl>
              <c:idx val="1"/>
              <c:layout>
                <c:manualLayout>
                  <c:x val="5.8798598515045269E-3"/>
                  <c:y val="-1.8119388325303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FC-4C1B-87A7-D55930FD9780}"/>
                </c:ext>
              </c:extLst>
            </c:dLbl>
            <c:dLbl>
              <c:idx val="2"/>
              <c:layout>
                <c:manualLayout>
                  <c:x val="8.3521529118323122E-4"/>
                  <c:y val="-1.7095922426552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FC-4C1B-87A7-D55930FD9780}"/>
                </c:ext>
              </c:extLst>
            </c:dLbl>
            <c:dLbl>
              <c:idx val="3"/>
              <c:layout>
                <c:manualLayout>
                  <c:x val="8.9494299972180005E-4"/>
                  <c:y val="-2.6622792350838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FC-4C1B-87A7-D55930FD9780}"/>
                </c:ext>
              </c:extLst>
            </c:dLbl>
            <c:dLbl>
              <c:idx val="4"/>
              <c:layout>
                <c:manualLayout>
                  <c:x val="2.9624089299105402E-3"/>
                  <c:y val="-1.1961334858142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1.9782954483668947E-2"/>
                      <c:h val="2.39808059531506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8FC-4C1B-87A7-D55930FD9780}"/>
                </c:ext>
              </c:extLst>
            </c:dLbl>
            <c:dLbl>
              <c:idx val="5"/>
              <c:layout>
                <c:manualLayout>
                  <c:x val="-2.5524814513275891E-3"/>
                  <c:y val="-3.4889881697641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FC-4C1B-87A7-D55930FD9780}"/>
                </c:ext>
              </c:extLst>
            </c:dLbl>
            <c:dLbl>
              <c:idx val="6"/>
              <c:layout>
                <c:manualLayout>
                  <c:x val="4.0435097128124599E-3"/>
                  <c:y val="-1.463873578286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FC-4C1B-87A7-D55930FD9780}"/>
                </c:ext>
              </c:extLst>
            </c:dLbl>
            <c:dLbl>
              <c:idx val="7"/>
              <c:layout>
                <c:manualLayout>
                  <c:x val="2.2539625928284621E-3"/>
                  <c:y val="-1.5710652031587252E-2"/>
                </c:manualLayout>
              </c:layout>
              <c:spPr/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07307270734381E-2"/>
                      <c:h val="4.2176134316234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8FC-4C1B-87A7-D55930FD9780}"/>
                </c:ext>
              </c:extLst>
            </c:dLbl>
            <c:dLbl>
              <c:idx val="8"/>
              <c:layout>
                <c:manualLayout>
                  <c:x val="2.1985746278086896E-3"/>
                  <c:y val="-1.996454786461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FC-4C1B-87A7-D55930FD9780}"/>
                </c:ext>
              </c:extLst>
            </c:dLbl>
            <c:dLbl>
              <c:idx val="9"/>
              <c:layout>
                <c:manualLayout>
                  <c:x val="2.9927574681878439E-3"/>
                  <c:y val="-1.216347972486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FC-4C1B-87A7-D55930FD9780}"/>
                </c:ext>
              </c:extLst>
            </c:dLbl>
            <c:dLbl>
              <c:idx val="10"/>
              <c:layout>
                <c:manualLayout>
                  <c:x val="5.7383588504546033E-3"/>
                  <c:y val="-1.39307586449837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9874,89
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8FC-4C1B-87A7-D55930FD9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38100" tIns="19050" rIns="38100" bIns="19050">
                <a:spAutoFit/>
              </a:bodyPr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Comparativo!$B$31:$B$68</c:f>
              <c:numCache>
                <c:formatCode>General</c:formatCode>
                <c:ptCount val="38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  <c:pt idx="36">
                  <c:v>2022</c:v>
                </c:pt>
                <c:pt idx="37">
                  <c:v>2023</c:v>
                </c:pt>
              </c:numCache>
            </c:numRef>
          </c:cat>
          <c:val>
            <c:numRef>
              <c:f>Comparativo!$C$31:$C$68</c:f>
              <c:numCache>
                <c:formatCode>General</c:formatCode>
                <c:ptCount val="38"/>
                <c:pt idx="0">
                  <c:v>1211.4000000000001</c:v>
                </c:pt>
                <c:pt idx="1">
                  <c:v>2100</c:v>
                </c:pt>
                <c:pt idx="2">
                  <c:v>117</c:v>
                </c:pt>
                <c:pt idx="3">
                  <c:v>21</c:v>
                </c:pt>
                <c:pt idx="4">
                  <c:v>552</c:v>
                </c:pt>
                <c:pt idx="5">
                  <c:v>0</c:v>
                </c:pt>
                <c:pt idx="6">
                  <c:v>773</c:v>
                </c:pt>
                <c:pt idx="7">
                  <c:v>1113.83</c:v>
                </c:pt>
                <c:pt idx="8">
                  <c:v>15787</c:v>
                </c:pt>
                <c:pt idx="9">
                  <c:v>23805</c:v>
                </c:pt>
                <c:pt idx="10">
                  <c:v>14055</c:v>
                </c:pt>
                <c:pt idx="11">
                  <c:v>11659</c:v>
                </c:pt>
                <c:pt idx="12" formatCode="#,##0">
                  <c:v>5977.3102399999998</c:v>
                </c:pt>
                <c:pt idx="13" formatCode="#,##0">
                  <c:v>3865.5149999999999</c:v>
                </c:pt>
                <c:pt idx="14" formatCode="#,##0">
                  <c:v>2678.8979999999997</c:v>
                </c:pt>
                <c:pt idx="15" formatCode="#,##0">
                  <c:v>8035.2370000000001</c:v>
                </c:pt>
                <c:pt idx="16" formatCode="#,##0">
                  <c:v>4961.4800000000005</c:v>
                </c:pt>
                <c:pt idx="17" formatCode="#,##0">
                  <c:v>17825.250000000004</c:v>
                </c:pt>
                <c:pt idx="18" formatCode="#,##0">
                  <c:v>17818.809999999998</c:v>
                </c:pt>
                <c:pt idx="19" formatCode="#,##0">
                  <c:v>18093.12</c:v>
                </c:pt>
                <c:pt idx="20" formatCode="#,##0">
                  <c:v>12070.68</c:v>
                </c:pt>
                <c:pt idx="21" formatCode="#,##0">
                  <c:v>13529.750000000002</c:v>
                </c:pt>
                <c:pt idx="22" formatCode="#,##0">
                  <c:v>9878.89</c:v>
                </c:pt>
                <c:pt idx="23" formatCode="#,##0">
                  <c:v>8242.5700000000015</c:v>
                </c:pt>
                <c:pt idx="24" formatCode="#,##0">
                  <c:v>11196.960000000001</c:v>
                </c:pt>
                <c:pt idx="25" formatCode="#,##0">
                  <c:v>9620.8799999999992</c:v>
                </c:pt>
                <c:pt idx="26" formatCode="#,##0">
                  <c:v>8643.85</c:v>
                </c:pt>
                <c:pt idx="27" formatCode="#,##0">
                  <c:v>7618.9299999999994</c:v>
                </c:pt>
                <c:pt idx="28" formatCode="#,##0">
                  <c:v>6964.68</c:v>
                </c:pt>
                <c:pt idx="29" formatCode="#,##0">
                  <c:v>3235.5399999999995</c:v>
                </c:pt>
                <c:pt idx="30" formatCode="#,##0">
                  <c:v>2683.7099999999996</c:v>
                </c:pt>
                <c:pt idx="31" formatCode="#,##0">
                  <c:v>3323.79</c:v>
                </c:pt>
                <c:pt idx="32" formatCode="#,##0">
                  <c:v>4035.24</c:v>
                </c:pt>
                <c:pt idx="33" formatCode="#,##0">
                  <c:v>5736.75</c:v>
                </c:pt>
                <c:pt idx="34" formatCode="#,##0">
                  <c:v>4385.5500000000011</c:v>
                </c:pt>
                <c:pt idx="35" formatCode="#,##0">
                  <c:v>5655.3</c:v>
                </c:pt>
                <c:pt idx="36" formatCode="#,##0">
                  <c:v>4316.6099999999997</c:v>
                </c:pt>
                <c:pt idx="37" formatCode="#,##0">
                  <c:v>2737.5299999999997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FC-4C1B-87A7-D55930FD9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3359"/>
        <c:axId val="1"/>
        <c:axId val="0"/>
      </c:bar3DChart>
      <c:catAx>
        <c:axId val="17048733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4873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25400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" footer="0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8"/>
      <c:hPercent val="134"/>
      <c:rotY val="44"/>
      <c:depthPercent val="100"/>
      <c:rAngAx val="1"/>
    </c:view3D>
    <c:floor>
      <c:thickness val="0"/>
      <c:spPr>
        <a:gradFill rotWithShape="0">
          <a:gsLst>
            <a:gs pos="0">
              <a:srgbClr val="CCFFFF"/>
            </a:gs>
            <a:gs pos="50000">
              <a:srgbClr val="33CCCC"/>
            </a:gs>
            <a:gs pos="100000">
              <a:srgbClr val="CCFFFF"/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008080"/>
            </a:gs>
            <a:gs pos="100000">
              <a:srgbClr val="C0C0C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008080"/>
            </a:gs>
            <a:gs pos="100000">
              <a:srgbClr val="C0C0C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0577617328519857"/>
          <c:y val="0.1729106628242075"/>
          <c:w val="0.67870036101083031"/>
          <c:h val="0.78962536023054752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8080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FFE-4ED7-B5C4-23AD27B4BEF4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99CC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FE-4ED7-B5C4-23AD27B4BEF4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FF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FFE-4ED7-B5C4-23AD27B4BEF4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CC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FE-4ED7-B5C4-23AD27B4BEF4}"/>
              </c:ext>
            </c:extLst>
          </c:dPt>
          <c:dLbls>
            <c:dLbl>
              <c:idx val="0"/>
              <c:layout>
                <c:manualLayout>
                  <c:x val="9.037847964936585E-2"/>
                  <c:y val="-2.209117520252335E-2"/>
                </c:manualLayout>
              </c:layout>
              <c:spPr>
                <a:solidFill>
                  <a:srgbClr val="FF8080"/>
                </a:solidFill>
                <a:ln w="3175">
                  <a:solidFill>
                    <a:srgbClr val="FF8080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E-4ED7-B5C4-23AD27B4BEF4}"/>
                </c:ext>
              </c:extLst>
            </c:dLbl>
            <c:dLbl>
              <c:idx val="1"/>
              <c:layout>
                <c:manualLayout>
                  <c:x val="7.677904123015046E-2"/>
                  <c:y val="-2.7732739010907861E-2"/>
                </c:manualLayout>
              </c:layout>
              <c:spPr>
                <a:solidFill>
                  <a:srgbClr val="99CCFF"/>
                </a:solidFill>
                <a:ln w="3175">
                  <a:solidFill>
                    <a:srgbClr val="99CCFF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E-4ED7-B5C4-23AD27B4BEF4}"/>
                </c:ext>
              </c:extLst>
            </c:dLbl>
            <c:dLbl>
              <c:idx val="2"/>
              <c:layout>
                <c:manualLayout>
                  <c:x val="9.037847964936585E-2"/>
                  <c:y val="-2.1846628165008822E-2"/>
                </c:manualLayout>
              </c:layout>
              <c:spPr>
                <a:solidFill>
                  <a:srgbClr val="FFFF99"/>
                </a:solidFill>
                <a:ln w="3175">
                  <a:solidFill>
                    <a:srgbClr val="FFFF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FE-4ED7-B5C4-23AD27B4BEF4}"/>
                </c:ext>
              </c:extLst>
            </c:dLbl>
            <c:dLbl>
              <c:idx val="3"/>
              <c:layout>
                <c:manualLayout>
                  <c:x val="8.8573425497741332E-2"/>
                  <c:y val="-3.6133725114603749E-2"/>
                </c:manualLayout>
              </c:layout>
              <c:spPr>
                <a:solidFill>
                  <a:srgbClr val="FFCC99"/>
                </a:solidFill>
                <a:ln w="3175">
                  <a:solidFill>
                    <a:srgbClr val="FFCC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FE-4ED7-B5C4-23AD27B4BEF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Comparativo!$G$96:$J$96</c:f>
              <c:numCache>
                <c:formatCode>#,##0.00</c:formatCode>
                <c:ptCount val="4"/>
                <c:pt idx="0">
                  <c:v>0</c:v>
                </c:pt>
                <c:pt idx="1">
                  <c:v>2737530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FE-4ED7-B5C4-23AD27B4B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5023"/>
        <c:axId val="1"/>
        <c:axId val="0"/>
      </c:bar3DChart>
      <c:catAx>
        <c:axId val="1704875023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#,##0.00" sourceLinked="1"/>
        <c:majorTickMark val="out"/>
        <c:minorTickMark val="none"/>
        <c:tickLblPos val="nextTo"/>
        <c:crossAx val="17048750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" footer="0"/>
    <c:pageSetup orientation="landscape" horizontalDpi="-3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</xdr:row>
      <xdr:rowOff>142875</xdr:rowOff>
    </xdr:from>
    <xdr:to>
      <xdr:col>6</xdr:col>
      <xdr:colOff>401955</xdr:colOff>
      <xdr:row>13</xdr:row>
      <xdr:rowOff>144780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3829FB45-DF69-452D-AE1E-36C4866E8E81}"/>
            </a:ext>
          </a:extLst>
        </xdr:cNvPr>
        <xdr:cNvSpPr txBox="1">
          <a:spLocks noChangeArrowheads="1"/>
        </xdr:cNvSpPr>
      </xdr:nvSpPr>
      <xdr:spPr bwMode="auto">
        <a:xfrm>
          <a:off x="1943100" y="1762125"/>
          <a:ext cx="29622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AR" sz="1200" b="1" i="0" u="none" strike="noStrike" baseline="0">
              <a:solidFill>
                <a:srgbClr val="000000"/>
              </a:solidFill>
              <a:latin typeface="+mn-lt"/>
            </a:rPr>
            <a:t>DATOS ESTADÍSTICOS </a:t>
          </a:r>
        </a:p>
        <a:p>
          <a:pPr algn="ctr" rtl="0">
            <a:defRPr sz="1000"/>
          </a:pPr>
          <a:r>
            <a:rPr lang="es-AR" sz="1200" b="1" i="0" u="none" strike="noStrike" baseline="0">
              <a:solidFill>
                <a:srgbClr val="000000"/>
              </a:solidFill>
              <a:latin typeface="+mn-lt"/>
            </a:rPr>
            <a:t>Movimiento del Sector Pesquero</a:t>
          </a:r>
          <a:endParaRPr lang="es-AR" sz="10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defRPr sz="1000"/>
          </a:pPr>
          <a:endParaRPr lang="es-AR" sz="1000" b="1" i="0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1</xdr:col>
      <xdr:colOff>295275</xdr:colOff>
      <xdr:row>20</xdr:row>
      <xdr:rowOff>133350</xdr:rowOff>
    </xdr:from>
    <xdr:to>
      <xdr:col>8</xdr:col>
      <xdr:colOff>295275</xdr:colOff>
      <xdr:row>44</xdr:row>
      <xdr:rowOff>133350</xdr:rowOff>
    </xdr:to>
    <xdr:pic>
      <xdr:nvPicPr>
        <xdr:cNvPr id="1875141" name="Picture 6">
          <a:extLst>
            <a:ext uri="{FF2B5EF4-FFF2-40B4-BE49-F238E27FC236}">
              <a16:creationId xmlns:a16="http://schemas.microsoft.com/office/drawing/2014/main" id="{E4CCFD10-7A2B-46EC-8C73-84DF9A5232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400425"/>
          <a:ext cx="5667375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142875</xdr:colOff>
      <xdr:row>45</xdr:row>
      <xdr:rowOff>19050</xdr:rowOff>
    </xdr:from>
    <xdr:to>
      <xdr:col>7</xdr:col>
      <xdr:colOff>430530</xdr:colOff>
      <xdr:row>46</xdr:row>
      <xdr:rowOff>137160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F75529A3-A923-49F5-82FA-60E2854BFDCB}"/>
            </a:ext>
          </a:extLst>
        </xdr:cNvPr>
        <xdr:cNvSpPr txBox="1">
          <a:spLocks noChangeArrowheads="1"/>
        </xdr:cNvSpPr>
      </xdr:nvSpPr>
      <xdr:spPr bwMode="auto">
        <a:xfrm>
          <a:off x="1257300" y="7343775"/>
          <a:ext cx="4486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s-AR" sz="900" b="0" i="0" u="none" strike="noStrike" baseline="0">
              <a:solidFill>
                <a:srgbClr val="000000"/>
              </a:solidFill>
              <a:latin typeface="Verdana"/>
            </a:rPr>
            <a:t>Pontón Flotante - Puerto San Antonio Este - Río Negro - República Argentina</a:t>
          </a:r>
        </a:p>
      </xdr:txBody>
    </xdr:sp>
    <xdr:clientData/>
  </xdr:twoCellAnchor>
  <xdr:twoCellAnchor editAs="oneCell">
    <xdr:from>
      <xdr:col>2</xdr:col>
      <xdr:colOff>851535</xdr:colOff>
      <xdr:row>47</xdr:row>
      <xdr:rowOff>142875</xdr:rowOff>
    </xdr:from>
    <xdr:to>
      <xdr:col>6</xdr:col>
      <xdr:colOff>742950</xdr:colOff>
      <xdr:row>54</xdr:row>
      <xdr:rowOff>53340</xdr:rowOff>
    </xdr:to>
    <xdr:sp macro="" textlink="">
      <xdr:nvSpPr>
        <xdr:cNvPr id="12296" name="Text Box 8">
          <a:extLst>
            <a:ext uri="{FF2B5EF4-FFF2-40B4-BE49-F238E27FC236}">
              <a16:creationId xmlns:a16="http://schemas.microsoft.com/office/drawing/2014/main" id="{AA07A039-4E5D-4D7E-8DA1-8359CD320A2B}"/>
            </a:ext>
          </a:extLst>
        </xdr:cNvPr>
        <xdr:cNvSpPr txBox="1">
          <a:spLocks noChangeArrowheads="1"/>
        </xdr:cNvSpPr>
      </xdr:nvSpPr>
      <xdr:spPr bwMode="auto">
        <a:xfrm>
          <a:off x="2002155" y="8060055"/>
          <a:ext cx="3305175" cy="1083945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Movimiento del Sector Pesquero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3366FF"/>
            </a:solidFill>
            <a:latin typeface="Verdana"/>
          </a:endParaRP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Datos mensuales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Comparativo año anterior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Acumulativo semestral</a:t>
          </a:r>
        </a:p>
        <a:p>
          <a:pPr algn="ctr" rtl="0">
            <a:defRPr sz="1000"/>
          </a:pPr>
          <a:r>
            <a:rPr lang="es-AR" sz="1000" b="0" i="0" u="none" strike="noStrike" baseline="0">
              <a:solidFill>
                <a:srgbClr val="3366FF"/>
              </a:solidFill>
              <a:latin typeface="Verdana"/>
            </a:rPr>
            <a:t>Acumulativo anual</a:t>
          </a:r>
        </a:p>
      </xdr:txBody>
    </xdr:sp>
    <xdr:clientData/>
  </xdr:twoCellAnchor>
  <xdr:twoCellAnchor>
    <xdr:from>
      <xdr:col>1</xdr:col>
      <xdr:colOff>714375</xdr:colOff>
      <xdr:row>57</xdr:row>
      <xdr:rowOff>142875</xdr:rowOff>
    </xdr:from>
    <xdr:to>
      <xdr:col>7</xdr:col>
      <xdr:colOff>390525</xdr:colOff>
      <xdr:row>62</xdr:row>
      <xdr:rowOff>104775</xdr:rowOff>
    </xdr:to>
    <xdr:sp macro="" textlink="">
      <xdr:nvSpPr>
        <xdr:cNvPr id="12297" name="Text Box 9">
          <a:extLst>
            <a:ext uri="{FF2B5EF4-FFF2-40B4-BE49-F238E27FC236}">
              <a16:creationId xmlns:a16="http://schemas.microsoft.com/office/drawing/2014/main" id="{7357EE35-6581-4C8A-820F-3EE85600DDA6}"/>
            </a:ext>
          </a:extLst>
        </xdr:cNvPr>
        <xdr:cNvSpPr txBox="1">
          <a:spLocks noChangeArrowheads="1"/>
        </xdr:cNvSpPr>
      </xdr:nvSpPr>
      <xdr:spPr bwMode="auto">
        <a:xfrm>
          <a:off x="1000125" y="9372600"/>
          <a:ext cx="4581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3</xdr:col>
      <xdr:colOff>619125</xdr:colOff>
      <xdr:row>2</xdr:row>
      <xdr:rowOff>66675</xdr:rowOff>
    </xdr:from>
    <xdr:to>
      <xdr:col>5</xdr:col>
      <xdr:colOff>695325</xdr:colOff>
      <xdr:row>10</xdr:row>
      <xdr:rowOff>47625</xdr:rowOff>
    </xdr:to>
    <xdr:pic>
      <xdr:nvPicPr>
        <xdr:cNvPr id="1875145" name="Imagen 2">
          <a:extLst>
            <a:ext uri="{FF2B5EF4-FFF2-40B4-BE49-F238E27FC236}">
              <a16:creationId xmlns:a16="http://schemas.microsoft.com/office/drawing/2014/main" id="{E7520400-5B4F-494F-99CA-99A3F29A4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2225" y="3905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3" name="Text Box 7">
          <a:extLst>
            <a:ext uri="{FF2B5EF4-FFF2-40B4-BE49-F238E27FC236}">
              <a16:creationId xmlns:a16="http://schemas.microsoft.com/office/drawing/2014/main" id="{437075B3-017F-4BBC-826B-6A99F57EB95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4" name="Text Box 8">
          <a:extLst>
            <a:ext uri="{FF2B5EF4-FFF2-40B4-BE49-F238E27FC236}">
              <a16:creationId xmlns:a16="http://schemas.microsoft.com/office/drawing/2014/main" id="{9242F21C-C38D-42F3-8578-1BB8583C31D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8" name="Text Box 12">
          <a:extLst>
            <a:ext uri="{FF2B5EF4-FFF2-40B4-BE49-F238E27FC236}">
              <a16:creationId xmlns:a16="http://schemas.microsoft.com/office/drawing/2014/main" id="{8B62DBF6-18E5-4CE7-8BCE-17C336DCB6D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9" name="Text Box 13">
          <a:extLst>
            <a:ext uri="{FF2B5EF4-FFF2-40B4-BE49-F238E27FC236}">
              <a16:creationId xmlns:a16="http://schemas.microsoft.com/office/drawing/2014/main" id="{C4BFE9D6-36C0-44A7-BF32-19C2B476161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1" name="Text Box 15">
          <a:extLst>
            <a:ext uri="{FF2B5EF4-FFF2-40B4-BE49-F238E27FC236}">
              <a16:creationId xmlns:a16="http://schemas.microsoft.com/office/drawing/2014/main" id="{518D4C5D-257D-4727-9B87-2CF4A1F602A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2" name="Text Box 16">
          <a:extLst>
            <a:ext uri="{FF2B5EF4-FFF2-40B4-BE49-F238E27FC236}">
              <a16:creationId xmlns:a16="http://schemas.microsoft.com/office/drawing/2014/main" id="{D5139AC6-624F-456B-B45F-4C65866444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3" name="Text Box 17">
          <a:extLst>
            <a:ext uri="{FF2B5EF4-FFF2-40B4-BE49-F238E27FC236}">
              <a16:creationId xmlns:a16="http://schemas.microsoft.com/office/drawing/2014/main" id="{663D02D2-26EC-4DD2-876E-E15ABF142C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4" name="Text Box 18">
          <a:extLst>
            <a:ext uri="{FF2B5EF4-FFF2-40B4-BE49-F238E27FC236}">
              <a16:creationId xmlns:a16="http://schemas.microsoft.com/office/drawing/2014/main" id="{FE4205B9-7399-4F3F-B6B1-EEC845657FC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5" name="Text Box 19">
          <a:extLst>
            <a:ext uri="{FF2B5EF4-FFF2-40B4-BE49-F238E27FC236}">
              <a16:creationId xmlns:a16="http://schemas.microsoft.com/office/drawing/2014/main" id="{7A502864-31A6-4CE9-B18B-8715C4ABB55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6" name="Text Box 20">
          <a:extLst>
            <a:ext uri="{FF2B5EF4-FFF2-40B4-BE49-F238E27FC236}">
              <a16:creationId xmlns:a16="http://schemas.microsoft.com/office/drawing/2014/main" id="{431CB0F9-B4BB-4859-B9DB-4A30D256F1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7" name="Text Box 21">
          <a:extLst>
            <a:ext uri="{FF2B5EF4-FFF2-40B4-BE49-F238E27FC236}">
              <a16:creationId xmlns:a16="http://schemas.microsoft.com/office/drawing/2014/main" id="{F6A431AF-98C2-47B3-B505-E8B8F9A1498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8" name="Text Box 22">
          <a:extLst>
            <a:ext uri="{FF2B5EF4-FFF2-40B4-BE49-F238E27FC236}">
              <a16:creationId xmlns:a16="http://schemas.microsoft.com/office/drawing/2014/main" id="{84552A96-1698-4928-A111-54337F588C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9" name="Text Box 23">
          <a:extLst>
            <a:ext uri="{FF2B5EF4-FFF2-40B4-BE49-F238E27FC236}">
              <a16:creationId xmlns:a16="http://schemas.microsoft.com/office/drawing/2014/main" id="{E75B2D4E-674A-4423-A3E3-8C13AC4A60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0" name="Text Box 24">
          <a:extLst>
            <a:ext uri="{FF2B5EF4-FFF2-40B4-BE49-F238E27FC236}">
              <a16:creationId xmlns:a16="http://schemas.microsoft.com/office/drawing/2014/main" id="{D510CB9B-E625-4630-9E73-99973AD4361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4" name="Text Box 28">
          <a:extLst>
            <a:ext uri="{FF2B5EF4-FFF2-40B4-BE49-F238E27FC236}">
              <a16:creationId xmlns:a16="http://schemas.microsoft.com/office/drawing/2014/main" id="{B4E6E17E-64FB-4721-8867-CD407D8A83D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5" name="Text Box 29">
          <a:extLst>
            <a:ext uri="{FF2B5EF4-FFF2-40B4-BE49-F238E27FC236}">
              <a16:creationId xmlns:a16="http://schemas.microsoft.com/office/drawing/2014/main" id="{895DEA5B-49C2-4F88-8315-394C2F29FAD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7" name="Text Box 31">
          <a:extLst>
            <a:ext uri="{FF2B5EF4-FFF2-40B4-BE49-F238E27FC236}">
              <a16:creationId xmlns:a16="http://schemas.microsoft.com/office/drawing/2014/main" id="{E036AF59-B4CD-4D81-9FB6-8A71044B64B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8" name="Text Box 32">
          <a:extLst>
            <a:ext uri="{FF2B5EF4-FFF2-40B4-BE49-F238E27FC236}">
              <a16:creationId xmlns:a16="http://schemas.microsoft.com/office/drawing/2014/main" id="{F6F33FB1-C6BE-4F95-B265-A3369C706FD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9" name="Text Box 33">
          <a:extLst>
            <a:ext uri="{FF2B5EF4-FFF2-40B4-BE49-F238E27FC236}">
              <a16:creationId xmlns:a16="http://schemas.microsoft.com/office/drawing/2014/main" id="{C0F70E73-F06D-47F1-B07D-CC8D3F30D8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0" name="Text Box 34">
          <a:extLst>
            <a:ext uri="{FF2B5EF4-FFF2-40B4-BE49-F238E27FC236}">
              <a16:creationId xmlns:a16="http://schemas.microsoft.com/office/drawing/2014/main" id="{80977434-8FA6-4BC8-A3BF-9CB96B2C9B4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1" name="Text Box 35">
          <a:extLst>
            <a:ext uri="{FF2B5EF4-FFF2-40B4-BE49-F238E27FC236}">
              <a16:creationId xmlns:a16="http://schemas.microsoft.com/office/drawing/2014/main" id="{B4C0944D-B136-4DBA-9093-7E1D3F4715C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2" name="Text Box 36">
          <a:extLst>
            <a:ext uri="{FF2B5EF4-FFF2-40B4-BE49-F238E27FC236}">
              <a16:creationId xmlns:a16="http://schemas.microsoft.com/office/drawing/2014/main" id="{7564874D-DE99-4C65-9D67-27D91D7248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3" name="Text Box 37">
          <a:extLst>
            <a:ext uri="{FF2B5EF4-FFF2-40B4-BE49-F238E27FC236}">
              <a16:creationId xmlns:a16="http://schemas.microsoft.com/office/drawing/2014/main" id="{B2CEBEE9-6DA2-4AC8-B4AE-7811DE3DDA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4" name="Text Box 38">
          <a:extLst>
            <a:ext uri="{FF2B5EF4-FFF2-40B4-BE49-F238E27FC236}">
              <a16:creationId xmlns:a16="http://schemas.microsoft.com/office/drawing/2014/main" id="{CF4B0F83-E82B-4B53-A979-457A4702A7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5" name="Text Box 39">
          <a:extLst>
            <a:ext uri="{FF2B5EF4-FFF2-40B4-BE49-F238E27FC236}">
              <a16:creationId xmlns:a16="http://schemas.microsoft.com/office/drawing/2014/main" id="{AC870995-0F4E-4FAF-894B-0DC3918402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6" name="Text Box 40">
          <a:extLst>
            <a:ext uri="{FF2B5EF4-FFF2-40B4-BE49-F238E27FC236}">
              <a16:creationId xmlns:a16="http://schemas.microsoft.com/office/drawing/2014/main" id="{1740B6DA-58E6-426C-9F50-691FC2DF869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390525</xdr:colOff>
      <xdr:row>8</xdr:row>
      <xdr:rowOff>74295</xdr:rowOff>
    </xdr:to>
    <xdr:pic>
      <xdr:nvPicPr>
        <xdr:cNvPr id="1868767" name="Imagen 30">
          <a:extLst>
            <a:ext uri="{FF2B5EF4-FFF2-40B4-BE49-F238E27FC236}">
              <a16:creationId xmlns:a16="http://schemas.microsoft.com/office/drawing/2014/main" id="{71A4188A-F080-4277-870A-40966487E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4" name="Text Box 24">
          <a:extLst>
            <a:ext uri="{FF2B5EF4-FFF2-40B4-BE49-F238E27FC236}">
              <a16:creationId xmlns:a16="http://schemas.microsoft.com/office/drawing/2014/main" id="{7220E13E-07C9-425E-863E-EE46D8A5E7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5" name="Text Box 25">
          <a:extLst>
            <a:ext uri="{FF2B5EF4-FFF2-40B4-BE49-F238E27FC236}">
              <a16:creationId xmlns:a16="http://schemas.microsoft.com/office/drawing/2014/main" id="{C20DFB45-DBB7-48F4-A6DC-73729F8C5C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6" name="Text Box 26">
          <a:extLst>
            <a:ext uri="{FF2B5EF4-FFF2-40B4-BE49-F238E27FC236}">
              <a16:creationId xmlns:a16="http://schemas.microsoft.com/office/drawing/2014/main" id="{2E2D62C6-97B9-4A73-A7DD-B96FBCBC079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7" name="Text Box 27">
          <a:extLst>
            <a:ext uri="{FF2B5EF4-FFF2-40B4-BE49-F238E27FC236}">
              <a16:creationId xmlns:a16="http://schemas.microsoft.com/office/drawing/2014/main" id="{7496B372-1B20-43E5-82A9-75486568B34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8" name="Text Box 28">
          <a:extLst>
            <a:ext uri="{FF2B5EF4-FFF2-40B4-BE49-F238E27FC236}">
              <a16:creationId xmlns:a16="http://schemas.microsoft.com/office/drawing/2014/main" id="{443E54CC-CB88-47F9-ACC4-623C8F35E6F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9" name="Text Box 29">
          <a:extLst>
            <a:ext uri="{FF2B5EF4-FFF2-40B4-BE49-F238E27FC236}">
              <a16:creationId xmlns:a16="http://schemas.microsoft.com/office/drawing/2014/main" id="{7C7BB4ED-AB3E-4C5D-B7C6-418F75DFB57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0" name="Text Box 30">
          <a:extLst>
            <a:ext uri="{FF2B5EF4-FFF2-40B4-BE49-F238E27FC236}">
              <a16:creationId xmlns:a16="http://schemas.microsoft.com/office/drawing/2014/main" id="{048F14CE-6D6F-45DC-91F1-100F4EFFE7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1" name="Text Box 31">
          <a:extLst>
            <a:ext uri="{FF2B5EF4-FFF2-40B4-BE49-F238E27FC236}">
              <a16:creationId xmlns:a16="http://schemas.microsoft.com/office/drawing/2014/main" id="{17FE54AD-13BA-4AA8-A9AB-BEAC0960276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2" name="Text Box 32">
          <a:extLst>
            <a:ext uri="{FF2B5EF4-FFF2-40B4-BE49-F238E27FC236}">
              <a16:creationId xmlns:a16="http://schemas.microsoft.com/office/drawing/2014/main" id="{0E41FB32-8D9D-4A4F-9146-918229111E5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3" name="Text Box 33">
          <a:extLst>
            <a:ext uri="{FF2B5EF4-FFF2-40B4-BE49-F238E27FC236}">
              <a16:creationId xmlns:a16="http://schemas.microsoft.com/office/drawing/2014/main" id="{936E6820-0C78-4E1E-BC2D-C41C43F90B2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4" name="Text Box 34">
          <a:extLst>
            <a:ext uri="{FF2B5EF4-FFF2-40B4-BE49-F238E27FC236}">
              <a16:creationId xmlns:a16="http://schemas.microsoft.com/office/drawing/2014/main" id="{A4068B75-065D-4FAD-AE0D-993B3A9C804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5" name="Text Box 35">
          <a:extLst>
            <a:ext uri="{FF2B5EF4-FFF2-40B4-BE49-F238E27FC236}">
              <a16:creationId xmlns:a16="http://schemas.microsoft.com/office/drawing/2014/main" id="{9A3AA8D6-E03B-4718-B7E7-082C1EDF3DD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6" name="Text Box 36">
          <a:extLst>
            <a:ext uri="{FF2B5EF4-FFF2-40B4-BE49-F238E27FC236}">
              <a16:creationId xmlns:a16="http://schemas.microsoft.com/office/drawing/2014/main" id="{A48DC27A-E85F-4621-86BC-64CAC6C17D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7" name="Text Box 37">
          <a:extLst>
            <a:ext uri="{FF2B5EF4-FFF2-40B4-BE49-F238E27FC236}">
              <a16:creationId xmlns:a16="http://schemas.microsoft.com/office/drawing/2014/main" id="{58888D47-C63C-41B5-A531-50241079830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8" name="Text Box 38">
          <a:extLst>
            <a:ext uri="{FF2B5EF4-FFF2-40B4-BE49-F238E27FC236}">
              <a16:creationId xmlns:a16="http://schemas.microsoft.com/office/drawing/2014/main" id="{1F928D1A-3FA8-4165-B1AD-5F8AC0858B7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9" name="Text Box 39">
          <a:extLst>
            <a:ext uri="{FF2B5EF4-FFF2-40B4-BE49-F238E27FC236}">
              <a16:creationId xmlns:a16="http://schemas.microsoft.com/office/drawing/2014/main" id="{0E50806B-745E-4D34-ACB2-8386307786F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3" name="Text Box 43">
          <a:extLst>
            <a:ext uri="{FF2B5EF4-FFF2-40B4-BE49-F238E27FC236}">
              <a16:creationId xmlns:a16="http://schemas.microsoft.com/office/drawing/2014/main" id="{E859F5BE-56F1-4110-874C-479F95C910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4" name="Text Box 44">
          <a:extLst>
            <a:ext uri="{FF2B5EF4-FFF2-40B4-BE49-F238E27FC236}">
              <a16:creationId xmlns:a16="http://schemas.microsoft.com/office/drawing/2014/main" id="{2233C0BC-6EAB-40FC-BB85-38C82094812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5" name="Text Box 45">
          <a:extLst>
            <a:ext uri="{FF2B5EF4-FFF2-40B4-BE49-F238E27FC236}">
              <a16:creationId xmlns:a16="http://schemas.microsoft.com/office/drawing/2014/main" id="{B054A2AB-2A0E-41A5-8AAB-C44F2E6971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6" name="Text Box 46">
          <a:extLst>
            <a:ext uri="{FF2B5EF4-FFF2-40B4-BE49-F238E27FC236}">
              <a16:creationId xmlns:a16="http://schemas.microsoft.com/office/drawing/2014/main" id="{ACEB40F8-BBA0-4EA1-BC38-E295E441A97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7" name="Text Box 47">
          <a:extLst>
            <a:ext uri="{FF2B5EF4-FFF2-40B4-BE49-F238E27FC236}">
              <a16:creationId xmlns:a16="http://schemas.microsoft.com/office/drawing/2014/main" id="{E8DB1AE9-0BC4-48F8-BC46-D71EEBB23CA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8" name="Text Box 48">
          <a:extLst>
            <a:ext uri="{FF2B5EF4-FFF2-40B4-BE49-F238E27FC236}">
              <a16:creationId xmlns:a16="http://schemas.microsoft.com/office/drawing/2014/main" id="{57EF9358-EA84-4527-9B76-1CB113F11AE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9" name="Text Box 49">
          <a:extLst>
            <a:ext uri="{FF2B5EF4-FFF2-40B4-BE49-F238E27FC236}">
              <a16:creationId xmlns:a16="http://schemas.microsoft.com/office/drawing/2014/main" id="{B09B8F63-A218-41FA-B182-CF21BDE7DAB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0" name="Text Box 50">
          <a:extLst>
            <a:ext uri="{FF2B5EF4-FFF2-40B4-BE49-F238E27FC236}">
              <a16:creationId xmlns:a16="http://schemas.microsoft.com/office/drawing/2014/main" id="{DE07AE98-B7EC-48E2-A49E-55089CEE83A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1" name="Text Box 51">
          <a:extLst>
            <a:ext uri="{FF2B5EF4-FFF2-40B4-BE49-F238E27FC236}">
              <a16:creationId xmlns:a16="http://schemas.microsoft.com/office/drawing/2014/main" id="{5DE00F64-17CB-4092-9EDD-6E3EE08C433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2" name="Text Box 52">
          <a:extLst>
            <a:ext uri="{FF2B5EF4-FFF2-40B4-BE49-F238E27FC236}">
              <a16:creationId xmlns:a16="http://schemas.microsoft.com/office/drawing/2014/main" id="{8B950765-1935-42E2-9D51-230DB9D09CB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3" name="Text Box 53">
          <a:extLst>
            <a:ext uri="{FF2B5EF4-FFF2-40B4-BE49-F238E27FC236}">
              <a16:creationId xmlns:a16="http://schemas.microsoft.com/office/drawing/2014/main" id="{D7CD2E49-9768-42E8-B56E-ADDC509FCE6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4" name="Text Box 54">
          <a:extLst>
            <a:ext uri="{FF2B5EF4-FFF2-40B4-BE49-F238E27FC236}">
              <a16:creationId xmlns:a16="http://schemas.microsoft.com/office/drawing/2014/main" id="{435268CB-7C91-492A-A23B-A46576663A3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902337" name="Imagen 32">
          <a:extLst>
            <a:ext uri="{FF2B5EF4-FFF2-40B4-BE49-F238E27FC236}">
              <a16:creationId xmlns:a16="http://schemas.microsoft.com/office/drawing/2014/main" id="{D1D1A781-6A87-485F-823C-BFA4BA4AE9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1" name="Text Box 7">
          <a:extLst>
            <a:ext uri="{FF2B5EF4-FFF2-40B4-BE49-F238E27FC236}">
              <a16:creationId xmlns:a16="http://schemas.microsoft.com/office/drawing/2014/main" id="{C51ECFAD-F611-43DE-831F-770992D662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2" name="Text Box 8">
          <a:extLst>
            <a:ext uri="{FF2B5EF4-FFF2-40B4-BE49-F238E27FC236}">
              <a16:creationId xmlns:a16="http://schemas.microsoft.com/office/drawing/2014/main" id="{D1B91C76-DC73-40D6-87D1-3C886F3BF2C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5" name="Text Box 11">
          <a:extLst>
            <a:ext uri="{FF2B5EF4-FFF2-40B4-BE49-F238E27FC236}">
              <a16:creationId xmlns:a16="http://schemas.microsoft.com/office/drawing/2014/main" id="{929B8A85-117F-474B-9F45-7E0CAB8B9C5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6" name="Text Box 12">
          <a:extLst>
            <a:ext uri="{FF2B5EF4-FFF2-40B4-BE49-F238E27FC236}">
              <a16:creationId xmlns:a16="http://schemas.microsoft.com/office/drawing/2014/main" id="{44643B44-EA5F-445C-8905-5375F597C6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7" name="Text Box 13">
          <a:extLst>
            <a:ext uri="{FF2B5EF4-FFF2-40B4-BE49-F238E27FC236}">
              <a16:creationId xmlns:a16="http://schemas.microsoft.com/office/drawing/2014/main" id="{3510C2AA-BFD0-4D33-B486-9C0604D95D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8" name="Text Box 14">
          <a:extLst>
            <a:ext uri="{FF2B5EF4-FFF2-40B4-BE49-F238E27FC236}">
              <a16:creationId xmlns:a16="http://schemas.microsoft.com/office/drawing/2014/main" id="{80B7DC77-4D4B-4BDD-A2F5-C412DB0E38C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9" name="Text Box 15">
          <a:extLst>
            <a:ext uri="{FF2B5EF4-FFF2-40B4-BE49-F238E27FC236}">
              <a16:creationId xmlns:a16="http://schemas.microsoft.com/office/drawing/2014/main" id="{ECCD43D5-B3AA-493A-A4B5-0BD74023DB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0" name="Text Box 16">
          <a:extLst>
            <a:ext uri="{FF2B5EF4-FFF2-40B4-BE49-F238E27FC236}">
              <a16:creationId xmlns:a16="http://schemas.microsoft.com/office/drawing/2014/main" id="{C0967C59-93AF-49BB-B27B-92E2B0F35CB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1" name="Text Box 17">
          <a:extLst>
            <a:ext uri="{FF2B5EF4-FFF2-40B4-BE49-F238E27FC236}">
              <a16:creationId xmlns:a16="http://schemas.microsoft.com/office/drawing/2014/main" id="{B0847529-8EE1-42DC-B48D-B47425817BD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2" name="Text Box 18">
          <a:extLst>
            <a:ext uri="{FF2B5EF4-FFF2-40B4-BE49-F238E27FC236}">
              <a16:creationId xmlns:a16="http://schemas.microsoft.com/office/drawing/2014/main" id="{9855FBD7-E664-4280-AC28-4503748A05B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3" name="Text Box 19">
          <a:extLst>
            <a:ext uri="{FF2B5EF4-FFF2-40B4-BE49-F238E27FC236}">
              <a16:creationId xmlns:a16="http://schemas.microsoft.com/office/drawing/2014/main" id="{EE22AB86-675C-464C-AAD7-538605DDC9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4" name="Text Box 20">
          <a:extLst>
            <a:ext uri="{FF2B5EF4-FFF2-40B4-BE49-F238E27FC236}">
              <a16:creationId xmlns:a16="http://schemas.microsoft.com/office/drawing/2014/main" id="{46171EC8-59BB-4988-A12E-1D6EA2C83A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5" name="Text Box 21">
          <a:extLst>
            <a:ext uri="{FF2B5EF4-FFF2-40B4-BE49-F238E27FC236}">
              <a16:creationId xmlns:a16="http://schemas.microsoft.com/office/drawing/2014/main" id="{FD534D0F-E7F4-4F34-9E01-6DAD650B297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6" name="Text Box 22">
          <a:extLst>
            <a:ext uri="{FF2B5EF4-FFF2-40B4-BE49-F238E27FC236}">
              <a16:creationId xmlns:a16="http://schemas.microsoft.com/office/drawing/2014/main" id="{68A5B18F-034B-48DB-B102-AAA6EF70142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7" name="Text Box 23">
          <a:extLst>
            <a:ext uri="{FF2B5EF4-FFF2-40B4-BE49-F238E27FC236}">
              <a16:creationId xmlns:a16="http://schemas.microsoft.com/office/drawing/2014/main" id="{18FC7E7C-6645-4923-9678-258D6D93D22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8" name="Text Box 24">
          <a:extLst>
            <a:ext uri="{FF2B5EF4-FFF2-40B4-BE49-F238E27FC236}">
              <a16:creationId xmlns:a16="http://schemas.microsoft.com/office/drawing/2014/main" id="{9572CF1D-A616-4132-97BE-FA8FB6B548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9" name="Text Box 25">
          <a:extLst>
            <a:ext uri="{FF2B5EF4-FFF2-40B4-BE49-F238E27FC236}">
              <a16:creationId xmlns:a16="http://schemas.microsoft.com/office/drawing/2014/main" id="{BF58EA6A-9FA9-4EDA-82B9-28BBF4F7807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0" name="Text Box 26">
          <a:extLst>
            <a:ext uri="{FF2B5EF4-FFF2-40B4-BE49-F238E27FC236}">
              <a16:creationId xmlns:a16="http://schemas.microsoft.com/office/drawing/2014/main" id="{6DEC7EDC-4021-4121-A702-4D7A8982DEE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2" name="Text Box 28">
          <a:extLst>
            <a:ext uri="{FF2B5EF4-FFF2-40B4-BE49-F238E27FC236}">
              <a16:creationId xmlns:a16="http://schemas.microsoft.com/office/drawing/2014/main" id="{5434813C-C020-4EAF-BC55-4097F66F14B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3" name="Text Box 29">
          <a:extLst>
            <a:ext uri="{FF2B5EF4-FFF2-40B4-BE49-F238E27FC236}">
              <a16:creationId xmlns:a16="http://schemas.microsoft.com/office/drawing/2014/main" id="{1B95DE12-4C6C-4256-8746-1D461DD48CE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4" name="Text Box 30">
          <a:extLst>
            <a:ext uri="{FF2B5EF4-FFF2-40B4-BE49-F238E27FC236}">
              <a16:creationId xmlns:a16="http://schemas.microsoft.com/office/drawing/2014/main" id="{77F69095-35E2-4DE1-8869-6A1643ED7E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5" name="Text Box 31">
          <a:extLst>
            <a:ext uri="{FF2B5EF4-FFF2-40B4-BE49-F238E27FC236}">
              <a16:creationId xmlns:a16="http://schemas.microsoft.com/office/drawing/2014/main" id="{991C5F99-97EF-447F-94BC-D243E49A77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6" name="Text Box 32">
          <a:extLst>
            <a:ext uri="{FF2B5EF4-FFF2-40B4-BE49-F238E27FC236}">
              <a16:creationId xmlns:a16="http://schemas.microsoft.com/office/drawing/2014/main" id="{61636D84-4BE2-49EA-AAB7-4543D1362F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7" name="Text Box 33">
          <a:extLst>
            <a:ext uri="{FF2B5EF4-FFF2-40B4-BE49-F238E27FC236}">
              <a16:creationId xmlns:a16="http://schemas.microsoft.com/office/drawing/2014/main" id="{D43A7769-DE69-4DBA-99A2-46D7CD412D6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8" name="Text Box 34">
          <a:extLst>
            <a:ext uri="{FF2B5EF4-FFF2-40B4-BE49-F238E27FC236}">
              <a16:creationId xmlns:a16="http://schemas.microsoft.com/office/drawing/2014/main" id="{CFC39220-0A7B-4014-950E-DABC38661D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9" name="Text Box 35">
          <a:extLst>
            <a:ext uri="{FF2B5EF4-FFF2-40B4-BE49-F238E27FC236}">
              <a16:creationId xmlns:a16="http://schemas.microsoft.com/office/drawing/2014/main" id="{3331588A-45EB-433A-9A96-326D97BC419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0" name="Text Box 36">
          <a:extLst>
            <a:ext uri="{FF2B5EF4-FFF2-40B4-BE49-F238E27FC236}">
              <a16:creationId xmlns:a16="http://schemas.microsoft.com/office/drawing/2014/main" id="{134F7228-F015-4137-B17C-82B76A2137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1" name="Text Box 37">
          <a:extLst>
            <a:ext uri="{FF2B5EF4-FFF2-40B4-BE49-F238E27FC236}">
              <a16:creationId xmlns:a16="http://schemas.microsoft.com/office/drawing/2014/main" id="{2D5384B6-B506-4B14-903E-86195BEF64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2" name="Text Box 38">
          <a:extLst>
            <a:ext uri="{FF2B5EF4-FFF2-40B4-BE49-F238E27FC236}">
              <a16:creationId xmlns:a16="http://schemas.microsoft.com/office/drawing/2014/main" id="{65757483-90B0-4407-9732-FEA8D0F0A1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3" name="Text Box 39">
          <a:extLst>
            <a:ext uri="{FF2B5EF4-FFF2-40B4-BE49-F238E27FC236}">
              <a16:creationId xmlns:a16="http://schemas.microsoft.com/office/drawing/2014/main" id="{1089D792-ACCD-47EF-AED7-D2D968D61A2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928739" name="Imagen 35">
          <a:extLst>
            <a:ext uri="{FF2B5EF4-FFF2-40B4-BE49-F238E27FC236}">
              <a16:creationId xmlns:a16="http://schemas.microsoft.com/office/drawing/2014/main" id="{71028EEF-F95B-41CB-ABAB-67E6E6F41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5" name="Text Box 7">
          <a:extLst>
            <a:ext uri="{FF2B5EF4-FFF2-40B4-BE49-F238E27FC236}">
              <a16:creationId xmlns:a16="http://schemas.microsoft.com/office/drawing/2014/main" id="{BA20EB50-D7C2-4705-9EA9-1C99A206879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61FAA681-0F04-42FF-A202-D7237119B8E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9" name="Text Box 11">
          <a:extLst>
            <a:ext uri="{FF2B5EF4-FFF2-40B4-BE49-F238E27FC236}">
              <a16:creationId xmlns:a16="http://schemas.microsoft.com/office/drawing/2014/main" id="{ED225523-3743-44C6-B4D7-85ABE84AAF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0" name="Text Box 12">
          <a:extLst>
            <a:ext uri="{FF2B5EF4-FFF2-40B4-BE49-F238E27FC236}">
              <a16:creationId xmlns:a16="http://schemas.microsoft.com/office/drawing/2014/main" id="{A226B503-647B-420A-96EC-4179C9AED4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1" name="Text Box 13">
          <a:extLst>
            <a:ext uri="{FF2B5EF4-FFF2-40B4-BE49-F238E27FC236}">
              <a16:creationId xmlns:a16="http://schemas.microsoft.com/office/drawing/2014/main" id="{8B4D9E59-552A-42C9-B0DF-466DD935C70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2" name="Text Box 14">
          <a:extLst>
            <a:ext uri="{FF2B5EF4-FFF2-40B4-BE49-F238E27FC236}">
              <a16:creationId xmlns:a16="http://schemas.microsoft.com/office/drawing/2014/main" id="{770ADA11-BC21-4064-8BC8-7D0E4D055A9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3" name="Text Box 15">
          <a:extLst>
            <a:ext uri="{FF2B5EF4-FFF2-40B4-BE49-F238E27FC236}">
              <a16:creationId xmlns:a16="http://schemas.microsoft.com/office/drawing/2014/main" id="{F65974A6-A2A9-4EC4-BAB9-E3816239749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4" name="Text Box 16">
          <a:extLst>
            <a:ext uri="{FF2B5EF4-FFF2-40B4-BE49-F238E27FC236}">
              <a16:creationId xmlns:a16="http://schemas.microsoft.com/office/drawing/2014/main" id="{07553EF1-967F-416E-BB29-37F77A416C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5" name="Text Box 17">
          <a:extLst>
            <a:ext uri="{FF2B5EF4-FFF2-40B4-BE49-F238E27FC236}">
              <a16:creationId xmlns:a16="http://schemas.microsoft.com/office/drawing/2014/main" id="{F405DC0D-F6B4-4902-8FE3-68506455C0F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6" name="Text Box 18">
          <a:extLst>
            <a:ext uri="{FF2B5EF4-FFF2-40B4-BE49-F238E27FC236}">
              <a16:creationId xmlns:a16="http://schemas.microsoft.com/office/drawing/2014/main" id="{5FC8174A-7CD7-46F8-BA2E-B14AFF7BB8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7" name="Text Box 19">
          <a:extLst>
            <a:ext uri="{FF2B5EF4-FFF2-40B4-BE49-F238E27FC236}">
              <a16:creationId xmlns:a16="http://schemas.microsoft.com/office/drawing/2014/main" id="{B76E8069-19CD-405D-B3CD-FCFC44B429F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8" name="Text Box 20">
          <a:extLst>
            <a:ext uri="{FF2B5EF4-FFF2-40B4-BE49-F238E27FC236}">
              <a16:creationId xmlns:a16="http://schemas.microsoft.com/office/drawing/2014/main" id="{D929FD13-82BB-4B0B-A4C7-10768A0AC9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9" name="Text Box 21">
          <a:extLst>
            <a:ext uri="{FF2B5EF4-FFF2-40B4-BE49-F238E27FC236}">
              <a16:creationId xmlns:a16="http://schemas.microsoft.com/office/drawing/2014/main" id="{5014F0FD-25FC-430C-BA9E-8156F1BA0F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0" name="Text Box 22">
          <a:extLst>
            <a:ext uri="{FF2B5EF4-FFF2-40B4-BE49-F238E27FC236}">
              <a16:creationId xmlns:a16="http://schemas.microsoft.com/office/drawing/2014/main" id="{ED8BFFCE-EA3F-4F9D-8026-5C1736A08A8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1" name="Text Box 23">
          <a:extLst>
            <a:ext uri="{FF2B5EF4-FFF2-40B4-BE49-F238E27FC236}">
              <a16:creationId xmlns:a16="http://schemas.microsoft.com/office/drawing/2014/main" id="{EDB743A3-962A-4C30-B49C-3F176D23915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2" name="Text Box 24">
          <a:extLst>
            <a:ext uri="{FF2B5EF4-FFF2-40B4-BE49-F238E27FC236}">
              <a16:creationId xmlns:a16="http://schemas.microsoft.com/office/drawing/2014/main" id="{6C9B2702-6FBC-499D-A875-002625D7FB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3" name="Text Box 25">
          <a:extLst>
            <a:ext uri="{FF2B5EF4-FFF2-40B4-BE49-F238E27FC236}">
              <a16:creationId xmlns:a16="http://schemas.microsoft.com/office/drawing/2014/main" id="{87ECC807-7BD1-46E8-946E-8CE43E98C9C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4" name="Text Box 26">
          <a:extLst>
            <a:ext uri="{FF2B5EF4-FFF2-40B4-BE49-F238E27FC236}">
              <a16:creationId xmlns:a16="http://schemas.microsoft.com/office/drawing/2014/main" id="{35ABE1ED-627E-448D-8BEF-882A27ACF24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5" name="Text Box 27">
          <a:extLst>
            <a:ext uri="{FF2B5EF4-FFF2-40B4-BE49-F238E27FC236}">
              <a16:creationId xmlns:a16="http://schemas.microsoft.com/office/drawing/2014/main" id="{DEC8F5A7-C405-4D7A-A5D4-9C307D31BF1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6" name="Text Box 28">
          <a:extLst>
            <a:ext uri="{FF2B5EF4-FFF2-40B4-BE49-F238E27FC236}">
              <a16:creationId xmlns:a16="http://schemas.microsoft.com/office/drawing/2014/main" id="{7D642799-6AB3-4766-B58A-A747357CF66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8" name="Text Box 30">
          <a:extLst>
            <a:ext uri="{FF2B5EF4-FFF2-40B4-BE49-F238E27FC236}">
              <a16:creationId xmlns:a16="http://schemas.microsoft.com/office/drawing/2014/main" id="{7E5BF6B6-8A25-4CE5-A5D8-0D59B7EB7E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9" name="Text Box 31">
          <a:extLst>
            <a:ext uri="{FF2B5EF4-FFF2-40B4-BE49-F238E27FC236}">
              <a16:creationId xmlns:a16="http://schemas.microsoft.com/office/drawing/2014/main" id="{389ED084-C4E4-4958-9A74-BD66F30755F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0" name="Text Box 32">
          <a:extLst>
            <a:ext uri="{FF2B5EF4-FFF2-40B4-BE49-F238E27FC236}">
              <a16:creationId xmlns:a16="http://schemas.microsoft.com/office/drawing/2014/main" id="{33EA9089-9E85-435B-A9F9-FEADDCB5C26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1" name="Text Box 33">
          <a:extLst>
            <a:ext uri="{FF2B5EF4-FFF2-40B4-BE49-F238E27FC236}">
              <a16:creationId xmlns:a16="http://schemas.microsoft.com/office/drawing/2014/main" id="{028AE434-917A-4A60-BF2A-78016F50B36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2" name="Text Box 34">
          <a:extLst>
            <a:ext uri="{FF2B5EF4-FFF2-40B4-BE49-F238E27FC236}">
              <a16:creationId xmlns:a16="http://schemas.microsoft.com/office/drawing/2014/main" id="{F41474D4-386D-4E41-9D20-A3B73E86DFA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3" name="Text Box 35">
          <a:extLst>
            <a:ext uri="{FF2B5EF4-FFF2-40B4-BE49-F238E27FC236}">
              <a16:creationId xmlns:a16="http://schemas.microsoft.com/office/drawing/2014/main" id="{6DCCC462-D28F-463F-87D8-74EC166CD18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4" name="Text Box 36">
          <a:extLst>
            <a:ext uri="{FF2B5EF4-FFF2-40B4-BE49-F238E27FC236}">
              <a16:creationId xmlns:a16="http://schemas.microsoft.com/office/drawing/2014/main" id="{C8ACFFCB-A264-4D60-BA1F-8172C45B8F8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5" name="Text Box 37">
          <a:extLst>
            <a:ext uri="{FF2B5EF4-FFF2-40B4-BE49-F238E27FC236}">
              <a16:creationId xmlns:a16="http://schemas.microsoft.com/office/drawing/2014/main" id="{E708CBBA-0C42-49C4-8CA6-F697B6F781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6" name="Text Box 38">
          <a:extLst>
            <a:ext uri="{FF2B5EF4-FFF2-40B4-BE49-F238E27FC236}">
              <a16:creationId xmlns:a16="http://schemas.microsoft.com/office/drawing/2014/main" id="{147FEEC3-430A-466B-9B18-E9670538568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7" name="Text Box 39">
          <a:extLst>
            <a:ext uri="{FF2B5EF4-FFF2-40B4-BE49-F238E27FC236}">
              <a16:creationId xmlns:a16="http://schemas.microsoft.com/office/drawing/2014/main" id="{0794C54A-7190-47A2-BA85-90B7D0DB40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8" name="Text Box 40">
          <a:extLst>
            <a:ext uri="{FF2B5EF4-FFF2-40B4-BE49-F238E27FC236}">
              <a16:creationId xmlns:a16="http://schemas.microsoft.com/office/drawing/2014/main" id="{865DC4DD-EC92-426D-87C7-9F2CF2989B6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9" name="Text Box 41">
          <a:extLst>
            <a:ext uri="{FF2B5EF4-FFF2-40B4-BE49-F238E27FC236}">
              <a16:creationId xmlns:a16="http://schemas.microsoft.com/office/drawing/2014/main" id="{63E637C7-5071-4596-86DF-75E35B26DBD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390525</xdr:colOff>
      <xdr:row>8</xdr:row>
      <xdr:rowOff>74295</xdr:rowOff>
    </xdr:to>
    <xdr:pic>
      <xdr:nvPicPr>
        <xdr:cNvPr id="1954117" name="Imagen 35">
          <a:extLst>
            <a:ext uri="{FF2B5EF4-FFF2-40B4-BE49-F238E27FC236}">
              <a16:creationId xmlns:a16="http://schemas.microsoft.com/office/drawing/2014/main" id="{F482E013-9137-49DF-B0A3-D1C5BFA3F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0" name="Text Box 8">
          <a:extLst>
            <a:ext uri="{FF2B5EF4-FFF2-40B4-BE49-F238E27FC236}">
              <a16:creationId xmlns:a16="http://schemas.microsoft.com/office/drawing/2014/main" id="{13FBC5BD-CBB9-4A64-9F6B-2BA7E979CC4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1" name="Text Box 9">
          <a:extLst>
            <a:ext uri="{FF2B5EF4-FFF2-40B4-BE49-F238E27FC236}">
              <a16:creationId xmlns:a16="http://schemas.microsoft.com/office/drawing/2014/main" id="{1F7CAF9E-BB64-404C-AA3D-898FBD0CB28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4" name="Text Box 12">
          <a:extLst>
            <a:ext uri="{FF2B5EF4-FFF2-40B4-BE49-F238E27FC236}">
              <a16:creationId xmlns:a16="http://schemas.microsoft.com/office/drawing/2014/main" id="{4E33E883-0EF3-409F-B422-EE5A4C31658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5" name="Text Box 13">
          <a:extLst>
            <a:ext uri="{FF2B5EF4-FFF2-40B4-BE49-F238E27FC236}">
              <a16:creationId xmlns:a16="http://schemas.microsoft.com/office/drawing/2014/main" id="{B1B2FD6C-CB95-4D78-94FD-D80DD30D960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6" name="Text Box 14">
          <a:extLst>
            <a:ext uri="{FF2B5EF4-FFF2-40B4-BE49-F238E27FC236}">
              <a16:creationId xmlns:a16="http://schemas.microsoft.com/office/drawing/2014/main" id="{6D073CA2-264B-43E1-BC41-C0B753BD649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7" name="Text Box 15">
          <a:extLst>
            <a:ext uri="{FF2B5EF4-FFF2-40B4-BE49-F238E27FC236}">
              <a16:creationId xmlns:a16="http://schemas.microsoft.com/office/drawing/2014/main" id="{8F4EA1C1-D2F7-4940-B461-BF0BC43EC71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8" name="Text Box 16">
          <a:extLst>
            <a:ext uri="{FF2B5EF4-FFF2-40B4-BE49-F238E27FC236}">
              <a16:creationId xmlns:a16="http://schemas.microsoft.com/office/drawing/2014/main" id="{ACA10483-B7E8-4D13-9615-2711EA80914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9" name="Text Box 17">
          <a:extLst>
            <a:ext uri="{FF2B5EF4-FFF2-40B4-BE49-F238E27FC236}">
              <a16:creationId xmlns:a16="http://schemas.microsoft.com/office/drawing/2014/main" id="{988C1C47-6FEA-4FF2-A83A-D6E4E0103D0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0" name="Text Box 18">
          <a:extLst>
            <a:ext uri="{FF2B5EF4-FFF2-40B4-BE49-F238E27FC236}">
              <a16:creationId xmlns:a16="http://schemas.microsoft.com/office/drawing/2014/main" id="{295B976C-151A-4BED-87A9-674E8340E4F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1" name="Text Box 19">
          <a:extLst>
            <a:ext uri="{FF2B5EF4-FFF2-40B4-BE49-F238E27FC236}">
              <a16:creationId xmlns:a16="http://schemas.microsoft.com/office/drawing/2014/main" id="{600D21DB-E1A2-4C5B-BEEE-5B6EA7CC994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2" name="Text Box 20">
          <a:extLst>
            <a:ext uri="{FF2B5EF4-FFF2-40B4-BE49-F238E27FC236}">
              <a16:creationId xmlns:a16="http://schemas.microsoft.com/office/drawing/2014/main" id="{8E446068-438F-4F06-8A05-226EAD8C368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3" name="Text Box 21">
          <a:extLst>
            <a:ext uri="{FF2B5EF4-FFF2-40B4-BE49-F238E27FC236}">
              <a16:creationId xmlns:a16="http://schemas.microsoft.com/office/drawing/2014/main" id="{CBEE3EC6-C036-4DAA-9852-13B159D09DB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4" name="Text Box 22">
          <a:extLst>
            <a:ext uri="{FF2B5EF4-FFF2-40B4-BE49-F238E27FC236}">
              <a16:creationId xmlns:a16="http://schemas.microsoft.com/office/drawing/2014/main" id="{83D60C2C-38A1-43FC-ADDE-B5C1010531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5" name="Text Box 23">
          <a:extLst>
            <a:ext uri="{FF2B5EF4-FFF2-40B4-BE49-F238E27FC236}">
              <a16:creationId xmlns:a16="http://schemas.microsoft.com/office/drawing/2014/main" id="{FEC1E5DF-6F82-4CAA-803B-A39524A48A9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6" name="Text Box 24">
          <a:extLst>
            <a:ext uri="{FF2B5EF4-FFF2-40B4-BE49-F238E27FC236}">
              <a16:creationId xmlns:a16="http://schemas.microsoft.com/office/drawing/2014/main" id="{F2677AE7-C20E-45C8-B07D-6560EE0A580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7" name="Text Box 25">
          <a:extLst>
            <a:ext uri="{FF2B5EF4-FFF2-40B4-BE49-F238E27FC236}">
              <a16:creationId xmlns:a16="http://schemas.microsoft.com/office/drawing/2014/main" id="{CC70C27E-A267-405E-8485-36178AAC8C0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8" name="Text Box 26">
          <a:extLst>
            <a:ext uri="{FF2B5EF4-FFF2-40B4-BE49-F238E27FC236}">
              <a16:creationId xmlns:a16="http://schemas.microsoft.com/office/drawing/2014/main" id="{D42117F0-3560-4DD8-BFF3-3DDFFDE64BB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9" name="Text Box 27">
          <a:extLst>
            <a:ext uri="{FF2B5EF4-FFF2-40B4-BE49-F238E27FC236}">
              <a16:creationId xmlns:a16="http://schemas.microsoft.com/office/drawing/2014/main" id="{714B8150-39CD-4E8F-B322-C8276C1857A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0" name="Text Box 28">
          <a:extLst>
            <a:ext uri="{FF2B5EF4-FFF2-40B4-BE49-F238E27FC236}">
              <a16:creationId xmlns:a16="http://schemas.microsoft.com/office/drawing/2014/main" id="{347786E5-5907-4022-A2B3-83960004B0D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1" name="Text Box 29">
          <a:extLst>
            <a:ext uri="{FF2B5EF4-FFF2-40B4-BE49-F238E27FC236}">
              <a16:creationId xmlns:a16="http://schemas.microsoft.com/office/drawing/2014/main" id="{30691891-DB06-4D9E-B16D-0EB3ABD016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2" name="Text Box 30">
          <a:extLst>
            <a:ext uri="{FF2B5EF4-FFF2-40B4-BE49-F238E27FC236}">
              <a16:creationId xmlns:a16="http://schemas.microsoft.com/office/drawing/2014/main" id="{7F323E83-7BAD-4FF1-AEEA-7E29711B1BF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3" name="Text Box 31">
          <a:extLst>
            <a:ext uri="{FF2B5EF4-FFF2-40B4-BE49-F238E27FC236}">
              <a16:creationId xmlns:a16="http://schemas.microsoft.com/office/drawing/2014/main" id="{6724A99F-E040-43E3-802C-CA37BF5AD8E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5" name="Text Box 33">
          <a:extLst>
            <a:ext uri="{FF2B5EF4-FFF2-40B4-BE49-F238E27FC236}">
              <a16:creationId xmlns:a16="http://schemas.microsoft.com/office/drawing/2014/main" id="{35C78153-EDFF-41FF-9C2D-92F25820873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6" name="Text Box 34">
          <a:extLst>
            <a:ext uri="{FF2B5EF4-FFF2-40B4-BE49-F238E27FC236}">
              <a16:creationId xmlns:a16="http://schemas.microsoft.com/office/drawing/2014/main" id="{92A86886-7352-4FE5-BC24-87E47FAC669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7" name="Text Box 35">
          <a:extLst>
            <a:ext uri="{FF2B5EF4-FFF2-40B4-BE49-F238E27FC236}">
              <a16:creationId xmlns:a16="http://schemas.microsoft.com/office/drawing/2014/main" id="{C6A0018C-A0C3-450A-BCD9-18BC57EB7FF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8" name="Text Box 36">
          <a:extLst>
            <a:ext uri="{FF2B5EF4-FFF2-40B4-BE49-F238E27FC236}">
              <a16:creationId xmlns:a16="http://schemas.microsoft.com/office/drawing/2014/main" id="{85EFAAE5-33E9-4868-BD22-DF29CCA3778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9" name="Text Box 37">
          <a:extLst>
            <a:ext uri="{FF2B5EF4-FFF2-40B4-BE49-F238E27FC236}">
              <a16:creationId xmlns:a16="http://schemas.microsoft.com/office/drawing/2014/main" id="{D9B77496-2127-492C-9CE4-2B7FF2B47B8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0" name="Text Box 38">
          <a:extLst>
            <a:ext uri="{FF2B5EF4-FFF2-40B4-BE49-F238E27FC236}">
              <a16:creationId xmlns:a16="http://schemas.microsoft.com/office/drawing/2014/main" id="{B6FCC004-263C-4CE0-A813-243ABC0E4C2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1" name="Text Box 39">
          <a:extLst>
            <a:ext uri="{FF2B5EF4-FFF2-40B4-BE49-F238E27FC236}">
              <a16:creationId xmlns:a16="http://schemas.microsoft.com/office/drawing/2014/main" id="{D80D3B7D-041B-4829-A5A2-F872860E7B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2" name="Text Box 40">
          <a:extLst>
            <a:ext uri="{FF2B5EF4-FFF2-40B4-BE49-F238E27FC236}">
              <a16:creationId xmlns:a16="http://schemas.microsoft.com/office/drawing/2014/main" id="{6D42AA0E-0E5C-4AA4-98B2-E1AFA6A2F73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3" name="Text Box 41">
          <a:extLst>
            <a:ext uri="{FF2B5EF4-FFF2-40B4-BE49-F238E27FC236}">
              <a16:creationId xmlns:a16="http://schemas.microsoft.com/office/drawing/2014/main" id="{C17D5933-22FA-4177-B610-D2AA52802FA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4" name="Text Box 42">
          <a:extLst>
            <a:ext uri="{FF2B5EF4-FFF2-40B4-BE49-F238E27FC236}">
              <a16:creationId xmlns:a16="http://schemas.microsoft.com/office/drawing/2014/main" id="{21FCB36F-8D57-4594-BD9B-0649967BC52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5" name="Text Box 43">
          <a:extLst>
            <a:ext uri="{FF2B5EF4-FFF2-40B4-BE49-F238E27FC236}">
              <a16:creationId xmlns:a16="http://schemas.microsoft.com/office/drawing/2014/main" id="{D4B88F44-2E32-4B42-9C6E-D8EDA85665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6" name="Text Box 44">
          <a:extLst>
            <a:ext uri="{FF2B5EF4-FFF2-40B4-BE49-F238E27FC236}">
              <a16:creationId xmlns:a16="http://schemas.microsoft.com/office/drawing/2014/main" id="{C8640417-8388-4AE5-8A94-D969DB5D5E2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977447" name="Imagen 38">
          <a:extLst>
            <a:ext uri="{FF2B5EF4-FFF2-40B4-BE49-F238E27FC236}">
              <a16:creationId xmlns:a16="http://schemas.microsoft.com/office/drawing/2014/main" id="{812D3EFB-FCF6-4AB5-A3A3-A6FB0AC2DF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581025</xdr:colOff>
      <xdr:row>2</xdr:row>
      <xdr:rowOff>14289</xdr:rowOff>
    </xdr:from>
    <xdr:to>
      <xdr:col>48</xdr:col>
      <xdr:colOff>228600</xdr:colOff>
      <xdr:row>7</xdr:row>
      <xdr:rowOff>42862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id="{B544FF62-5853-4AC9-95B7-3AF2980A3D64}"/>
            </a:ext>
          </a:extLst>
        </xdr:cNvPr>
        <xdr:cNvSpPr txBox="1">
          <a:spLocks noChangeArrowheads="1"/>
        </xdr:cNvSpPr>
      </xdr:nvSpPr>
      <xdr:spPr bwMode="auto">
        <a:xfrm>
          <a:off x="24641175" y="357189"/>
          <a:ext cx="4962525" cy="88582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lnSpc>
              <a:spcPts val="1100"/>
            </a:lnSpc>
            <a:defRPr sz="1000"/>
          </a:pPr>
          <a:endParaRPr lang="es-AR" sz="10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lnSpc>
              <a:spcPts val="1000"/>
            </a:lnSpc>
            <a:defRPr sz="1000"/>
          </a:pPr>
          <a:r>
            <a:rPr lang="es-AR" sz="1200" b="1" i="0" u="none" strike="noStrike" baseline="0">
              <a:solidFill>
                <a:srgbClr val="000080"/>
              </a:solidFill>
              <a:latin typeface="+mn-lt"/>
            </a:rPr>
            <a:t>DATOS MOVIMIENTO SECTOR PESQUERO AÑO 2023</a:t>
          </a:r>
        </a:p>
        <a:p>
          <a:pPr algn="ctr" rtl="0">
            <a:lnSpc>
              <a:spcPts val="1000"/>
            </a:lnSpc>
            <a:defRPr sz="1000"/>
          </a:pPr>
          <a:endParaRPr lang="es-AR" sz="1200" b="1" i="0" u="none" strike="noStrike" baseline="0">
            <a:solidFill>
              <a:srgbClr val="000080"/>
            </a:solidFill>
            <a:latin typeface="+mn-lt"/>
          </a:endParaRPr>
        </a:p>
        <a:p>
          <a:pPr algn="ctr" rtl="0">
            <a:lnSpc>
              <a:spcPts val="900"/>
            </a:lnSpc>
            <a:defRPr sz="1000"/>
          </a:pPr>
          <a:r>
            <a:rPr lang="es-AR" sz="1200" b="1" i="0" u="none" strike="noStrike" baseline="0">
              <a:solidFill>
                <a:srgbClr val="000080"/>
              </a:solidFill>
              <a:latin typeface="+mn-lt"/>
            </a:rPr>
            <a:t>COMPARATIVO TEMPORADAS ANTERIORES</a:t>
          </a:r>
          <a:endParaRPr lang="es-AR" sz="1000" b="1" i="0" u="none" strike="noStrike" baseline="0">
            <a:solidFill>
              <a:srgbClr val="000080"/>
            </a:solidFill>
            <a:latin typeface="+mn-lt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31</xdr:col>
      <xdr:colOff>262028</xdr:colOff>
      <xdr:row>30</xdr:row>
      <xdr:rowOff>39327</xdr:rowOff>
    </xdr:from>
    <xdr:to>
      <xdr:col>55</xdr:col>
      <xdr:colOff>331816</xdr:colOff>
      <xdr:row>66</xdr:row>
      <xdr:rowOff>88669</xdr:rowOff>
    </xdr:to>
    <xdr:graphicFrame macro="">
      <xdr:nvGraphicFramePr>
        <xdr:cNvPr id="44" name="Chart 11">
          <a:extLst>
            <a:ext uri="{FF2B5EF4-FFF2-40B4-BE49-F238E27FC236}">
              <a16:creationId xmlns:a16="http://schemas.microsoft.com/office/drawing/2014/main" id="{C9D3E748-2415-4F26-870F-C485A0F5C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2</xdr:col>
      <xdr:colOff>314365</xdr:colOff>
      <xdr:row>98</xdr:row>
      <xdr:rowOff>147940</xdr:rowOff>
    </xdr:from>
    <xdr:to>
      <xdr:col>12</xdr:col>
      <xdr:colOff>35600</xdr:colOff>
      <xdr:row>129</xdr:row>
      <xdr:rowOff>46761</xdr:rowOff>
    </xdr:to>
    <xdr:graphicFrame macro="">
      <xdr:nvGraphicFramePr>
        <xdr:cNvPr id="1973272" name="Chart 13">
          <a:extLst>
            <a:ext uri="{FF2B5EF4-FFF2-40B4-BE49-F238E27FC236}">
              <a16:creationId xmlns:a16="http://schemas.microsoft.com/office/drawing/2014/main" id="{DD5807C9-89AC-49B6-A988-C586C6086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32</xdr:col>
      <xdr:colOff>168275</xdr:colOff>
      <xdr:row>0</xdr:row>
      <xdr:rowOff>85724</xdr:rowOff>
    </xdr:from>
    <xdr:to>
      <xdr:col>35</xdr:col>
      <xdr:colOff>232410</xdr:colOff>
      <xdr:row>8</xdr:row>
      <xdr:rowOff>15239</xdr:rowOff>
    </xdr:to>
    <xdr:pic>
      <xdr:nvPicPr>
        <xdr:cNvPr id="10" name="Imagen 38">
          <a:extLst>
            <a:ext uri="{FF2B5EF4-FFF2-40B4-BE49-F238E27FC236}">
              <a16:creationId xmlns:a16="http://schemas.microsoft.com/office/drawing/2014/main" id="{C84B21B1-D433-44D4-AD90-DAFCFACCA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4575" y="85724"/>
          <a:ext cx="1835785" cy="1301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0.29945</cdr:x>
      <cdr:y>0.02509</cdr:y>
    </cdr:from>
    <cdr:to>
      <cdr:x>0.70055</cdr:x>
      <cdr:y>0.115</cdr:y>
    </cdr:to>
    <cdr:sp macro="" textlink="">
      <cdr:nvSpPr>
        <cdr:cNvPr id="80897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375" y="146221"/>
          <a:ext cx="5686621" cy="5239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1600" b="1" i="0" u="none" strike="noStrike" baseline="0">
              <a:solidFill>
                <a:srgbClr val="666699"/>
              </a:solidFill>
              <a:latin typeface="+mn-lt"/>
            </a:rPr>
            <a:t>Movimiento Sector Pesquero - 1983 a 2023 en Tn</a:t>
          </a:r>
        </a:p>
        <a:p xmlns:a="http://schemas.openxmlformats.org/drawingml/2006/main">
          <a:pPr algn="ctr" rtl="0">
            <a:defRPr sz="1000"/>
          </a:pPr>
          <a:r>
            <a:rPr lang="es-AR" sz="1000" b="1" i="0" u="none" strike="noStrike" baseline="0">
              <a:solidFill>
                <a:srgbClr val="666699"/>
              </a:solidFill>
              <a:latin typeface="+mn-lt"/>
            </a:rPr>
            <a:t>Fuente: 1983 a 1997  CO.D.E.PO. - Mtrio. Economía Pcia. de Río Negro (1983 a 1985 no hubo movimiento)</a:t>
          </a:r>
          <a:r>
            <a:rPr lang="es-AR" sz="1600" b="1" i="0" u="none" strike="noStrike" baseline="0">
              <a:solidFill>
                <a:srgbClr val="666699"/>
              </a:solidFill>
              <a:latin typeface="+mn-lt"/>
            </a:rPr>
            <a:t>.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0.32054</cdr:x>
      <cdr:y>0.02918</cdr:y>
    </cdr:from>
    <cdr:to>
      <cdr:x>0.6927</cdr:x>
      <cdr:y>0.08544</cdr:y>
    </cdr:to>
    <cdr:sp macro="" textlink="">
      <cdr:nvSpPr>
        <cdr:cNvPr id="819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20706" y="141885"/>
          <a:ext cx="2346091" cy="2735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AR" sz="1600" b="1" i="0" u="none" strike="noStrike" baseline="0">
              <a:solidFill>
                <a:srgbClr val="666699"/>
              </a:solidFill>
              <a:latin typeface="+mn-lt"/>
              <a:ea typeface="+mn-ea"/>
              <a:cs typeface="+mn-cs"/>
            </a:rPr>
            <a:t>MOVIMIENTO</a:t>
          </a:r>
          <a:r>
            <a:rPr lang="es-AR" sz="16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 </a:t>
          </a:r>
          <a:r>
            <a:rPr lang="es-AR" sz="1600" b="1" i="0" u="none" strike="noStrike" baseline="0">
              <a:solidFill>
                <a:srgbClr val="666699"/>
              </a:solidFill>
              <a:latin typeface="+mn-lt"/>
              <a:ea typeface="+mn-ea"/>
              <a:cs typeface="+mn-cs"/>
            </a:rPr>
            <a:t>2023 en Kgs</a:t>
          </a:r>
          <a:r>
            <a:rPr lang="es-AR" sz="1600" b="1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.</a:t>
          </a:r>
        </a:p>
      </cdr:txBody>
    </cdr:sp>
  </cdr:relSizeAnchor>
  <cdr:relSizeAnchor xmlns:cdr="http://schemas.openxmlformats.org/drawingml/2006/chartDrawing">
    <cdr:from>
      <cdr:x>0.00901</cdr:x>
      <cdr:y>0.26935</cdr:y>
    </cdr:from>
    <cdr:to>
      <cdr:x>0.20344</cdr:x>
      <cdr:y>0.37155</cdr:y>
    </cdr:to>
    <cdr:sp macro="" textlink="">
      <cdr:nvSpPr>
        <cdr:cNvPr id="819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0272"/>
          <a:ext cx="1018758" cy="3428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TRASBORDO A MERCANTE</a:t>
          </a:r>
        </a:p>
      </cdr:txBody>
    </cdr:sp>
  </cdr:relSizeAnchor>
  <cdr:relSizeAnchor xmlns:cdr="http://schemas.openxmlformats.org/drawingml/2006/chartDrawing">
    <cdr:from>
      <cdr:x>0.00901</cdr:x>
      <cdr:y>0.43809</cdr:y>
    </cdr:from>
    <cdr:to>
      <cdr:x>0.20074</cdr:x>
      <cdr:y>0.54055</cdr:y>
    </cdr:to>
    <cdr:sp macro="" textlink="">
      <cdr:nvSpPr>
        <cdr:cNvPr id="819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454480"/>
          <a:ext cx="1009674" cy="34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CALAMAR PLANTA PROC.</a:t>
          </a:r>
        </a:p>
      </cdr:txBody>
    </cdr:sp>
  </cdr:relSizeAnchor>
  <cdr:relSizeAnchor xmlns:cdr="http://schemas.openxmlformats.org/drawingml/2006/chartDrawing">
    <cdr:from>
      <cdr:x>0.00901</cdr:x>
      <cdr:y>0.63695</cdr:y>
    </cdr:from>
    <cdr:to>
      <cdr:x>0.21793</cdr:x>
      <cdr:y>0.74039</cdr:y>
    </cdr:to>
    <cdr:sp macro="" textlink="">
      <cdr:nvSpPr>
        <cdr:cNvPr id="819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14467"/>
          <a:ext cx="1104412" cy="3428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PLANTA PROCESADORA</a:t>
          </a:r>
        </a:p>
      </cdr:txBody>
    </cdr:sp>
  </cdr:relSizeAnchor>
  <cdr:relSizeAnchor xmlns:cdr="http://schemas.openxmlformats.org/drawingml/2006/chartDrawing">
    <cdr:from>
      <cdr:x>0.00901</cdr:x>
      <cdr:y>0.82658</cdr:y>
    </cdr:from>
    <cdr:to>
      <cdr:x>0.2</cdr:x>
      <cdr:y>0.89481</cdr:y>
    </cdr:to>
    <cdr:sp macro="" textlink="">
      <cdr:nvSpPr>
        <cdr:cNvPr id="81925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47089"/>
          <a:ext cx="1009674" cy="2285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800" b="0" i="0" u="none" strike="noStrike" baseline="0">
              <a:solidFill>
                <a:srgbClr val="000000"/>
              </a:solidFill>
              <a:latin typeface="Verdana"/>
            </a:rPr>
            <a:t>URUGUAY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3</xdr:col>
      <xdr:colOff>381000</xdr:colOff>
      <xdr:row>7</xdr:row>
      <xdr:rowOff>85725</xdr:rowOff>
    </xdr:to>
    <xdr:pic>
      <xdr:nvPicPr>
        <xdr:cNvPr id="1589485" name="Imagen 4">
          <a:extLst>
            <a:ext uri="{FF2B5EF4-FFF2-40B4-BE49-F238E27FC236}">
              <a16:creationId xmlns:a16="http://schemas.microsoft.com/office/drawing/2014/main" id="{531E122F-EE90-4E37-AB79-5FE063520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3318" name="Text Box 6">
          <a:extLst>
            <a:ext uri="{FF2B5EF4-FFF2-40B4-BE49-F238E27FC236}">
              <a16:creationId xmlns:a16="http://schemas.microsoft.com/office/drawing/2014/main" id="{E9F088AC-18F1-4A9F-9DC3-F0905D2D117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3319" name="Text Box 7">
          <a:extLst>
            <a:ext uri="{FF2B5EF4-FFF2-40B4-BE49-F238E27FC236}">
              <a16:creationId xmlns:a16="http://schemas.microsoft.com/office/drawing/2014/main" id="{1CDACFB3-80E6-48CC-B0C6-21DD46E7416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7</xdr:row>
      <xdr:rowOff>95250</xdr:rowOff>
    </xdr:to>
    <xdr:pic>
      <xdr:nvPicPr>
        <xdr:cNvPr id="1741095" name="Imagen 6">
          <a:extLst>
            <a:ext uri="{FF2B5EF4-FFF2-40B4-BE49-F238E27FC236}">
              <a16:creationId xmlns:a16="http://schemas.microsoft.com/office/drawing/2014/main" id="{1E2522CF-8AB5-4454-9F8C-2583FD871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5" name="Text Box 9">
          <a:extLst>
            <a:ext uri="{FF2B5EF4-FFF2-40B4-BE49-F238E27FC236}">
              <a16:creationId xmlns:a16="http://schemas.microsoft.com/office/drawing/2014/main" id="{52B48A30-8883-4C32-A4FC-77CE4F51FD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6" name="Text Box 10">
          <a:extLst>
            <a:ext uri="{FF2B5EF4-FFF2-40B4-BE49-F238E27FC236}">
              <a16:creationId xmlns:a16="http://schemas.microsoft.com/office/drawing/2014/main" id="{EE776EF8-B8BD-45E1-AA78-D4CDA8985D5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7" name="Text Box 11">
          <a:extLst>
            <a:ext uri="{FF2B5EF4-FFF2-40B4-BE49-F238E27FC236}">
              <a16:creationId xmlns:a16="http://schemas.microsoft.com/office/drawing/2014/main" id="{4AED5420-DFD2-4F42-A088-3F7C800A6A1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8" name="Text Box 12">
          <a:extLst>
            <a:ext uri="{FF2B5EF4-FFF2-40B4-BE49-F238E27FC236}">
              <a16:creationId xmlns:a16="http://schemas.microsoft.com/office/drawing/2014/main" id="{6A84083F-1012-4089-B8B4-DCF8DE3530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7</xdr:row>
      <xdr:rowOff>70757</xdr:rowOff>
    </xdr:to>
    <xdr:pic>
      <xdr:nvPicPr>
        <xdr:cNvPr id="1787234" name="Imagen 8">
          <a:extLst>
            <a:ext uri="{FF2B5EF4-FFF2-40B4-BE49-F238E27FC236}">
              <a16:creationId xmlns:a16="http://schemas.microsoft.com/office/drawing/2014/main" id="{4CE6364F-10EC-4CCF-95B5-40B15BBF2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F1A8933E-02FA-4E05-81B3-DF588BDB611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1" name="Text Box 11">
          <a:extLst>
            <a:ext uri="{FF2B5EF4-FFF2-40B4-BE49-F238E27FC236}">
              <a16:creationId xmlns:a16="http://schemas.microsoft.com/office/drawing/2014/main" id="{A02F5CE3-764F-4BFB-AB39-C826C746A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4" name="Text Box 14">
          <a:extLst>
            <a:ext uri="{FF2B5EF4-FFF2-40B4-BE49-F238E27FC236}">
              <a16:creationId xmlns:a16="http://schemas.microsoft.com/office/drawing/2014/main" id="{CB8E3A5B-4545-4520-90EE-21E8D63F86F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5" name="Text Box 15">
          <a:extLst>
            <a:ext uri="{FF2B5EF4-FFF2-40B4-BE49-F238E27FC236}">
              <a16:creationId xmlns:a16="http://schemas.microsoft.com/office/drawing/2014/main" id="{E2BE814E-5E2E-4AEE-8959-D2837744073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6" name="Text Box 16">
          <a:extLst>
            <a:ext uri="{FF2B5EF4-FFF2-40B4-BE49-F238E27FC236}">
              <a16:creationId xmlns:a16="http://schemas.microsoft.com/office/drawing/2014/main" id="{793C1165-635B-4875-B91C-754FFC6A454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7" name="Text Box 17">
          <a:extLst>
            <a:ext uri="{FF2B5EF4-FFF2-40B4-BE49-F238E27FC236}">
              <a16:creationId xmlns:a16="http://schemas.microsoft.com/office/drawing/2014/main" id="{2007BF32-1837-4E08-8B61-A6A141AAB18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7</xdr:row>
      <xdr:rowOff>99060</xdr:rowOff>
    </xdr:to>
    <xdr:pic>
      <xdr:nvPicPr>
        <xdr:cNvPr id="1927307" name="Imagen 10">
          <a:extLst>
            <a:ext uri="{FF2B5EF4-FFF2-40B4-BE49-F238E27FC236}">
              <a16:creationId xmlns:a16="http://schemas.microsoft.com/office/drawing/2014/main" id="{4F02978B-ECD1-40AC-BD6C-4330A2EB7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4" name="Text Box 10">
          <a:extLst>
            <a:ext uri="{FF2B5EF4-FFF2-40B4-BE49-F238E27FC236}">
              <a16:creationId xmlns:a16="http://schemas.microsoft.com/office/drawing/2014/main" id="{FA014022-D133-4F8D-A3E3-A1D72D79981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5" name="Text Box 11">
          <a:extLst>
            <a:ext uri="{FF2B5EF4-FFF2-40B4-BE49-F238E27FC236}">
              <a16:creationId xmlns:a16="http://schemas.microsoft.com/office/drawing/2014/main" id="{209F86F5-68FB-4AB0-94A9-8DCDE27E045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7" name="Text Box 13">
          <a:extLst>
            <a:ext uri="{FF2B5EF4-FFF2-40B4-BE49-F238E27FC236}">
              <a16:creationId xmlns:a16="http://schemas.microsoft.com/office/drawing/2014/main" id="{0DEDDA0D-8128-41EA-B563-6184ECEE432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8" name="Text Box 14">
          <a:extLst>
            <a:ext uri="{FF2B5EF4-FFF2-40B4-BE49-F238E27FC236}">
              <a16:creationId xmlns:a16="http://schemas.microsoft.com/office/drawing/2014/main" id="{6B811249-A445-4CC2-A390-55692FA4E08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0" name="Text Box 16">
          <a:extLst>
            <a:ext uri="{FF2B5EF4-FFF2-40B4-BE49-F238E27FC236}">
              <a16:creationId xmlns:a16="http://schemas.microsoft.com/office/drawing/2014/main" id="{2CB44F1D-DCEA-48BD-AADF-26F5FD856E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1" name="Text Box 17">
          <a:extLst>
            <a:ext uri="{FF2B5EF4-FFF2-40B4-BE49-F238E27FC236}">
              <a16:creationId xmlns:a16="http://schemas.microsoft.com/office/drawing/2014/main" id="{2857B385-11B5-4D55-87FD-698C9B1DE7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2" name="Text Box 18">
          <a:extLst>
            <a:ext uri="{FF2B5EF4-FFF2-40B4-BE49-F238E27FC236}">
              <a16:creationId xmlns:a16="http://schemas.microsoft.com/office/drawing/2014/main" id="{37E185D3-CDB6-451F-8FFE-821F4DEF9E2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3" name="Text Box 19">
          <a:extLst>
            <a:ext uri="{FF2B5EF4-FFF2-40B4-BE49-F238E27FC236}">
              <a16:creationId xmlns:a16="http://schemas.microsoft.com/office/drawing/2014/main" id="{EBF06697-BB58-43B8-9197-F198796D936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7</xdr:row>
      <xdr:rowOff>99060</xdr:rowOff>
    </xdr:to>
    <xdr:pic>
      <xdr:nvPicPr>
        <xdr:cNvPr id="1673133" name="Imagen 12">
          <a:extLst>
            <a:ext uri="{FF2B5EF4-FFF2-40B4-BE49-F238E27FC236}">
              <a16:creationId xmlns:a16="http://schemas.microsoft.com/office/drawing/2014/main" id="{154CD9E0-8E1A-477A-9E9C-933372951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5" name="Text Box 7">
          <a:extLst>
            <a:ext uri="{FF2B5EF4-FFF2-40B4-BE49-F238E27FC236}">
              <a16:creationId xmlns:a16="http://schemas.microsoft.com/office/drawing/2014/main" id="{51160DC1-5347-4456-87E0-D6B91845201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16" name="Text Box 8">
          <a:extLst>
            <a:ext uri="{FF2B5EF4-FFF2-40B4-BE49-F238E27FC236}">
              <a16:creationId xmlns:a16="http://schemas.microsoft.com/office/drawing/2014/main" id="{CD80BE85-3524-40F1-B04B-576C544F65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9" name="Text Box 11">
          <a:extLst>
            <a:ext uri="{FF2B5EF4-FFF2-40B4-BE49-F238E27FC236}">
              <a16:creationId xmlns:a16="http://schemas.microsoft.com/office/drawing/2014/main" id="{93DE46A4-B7C1-4C1F-B2A7-7F25E01B605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0" name="Text Box 12">
          <a:extLst>
            <a:ext uri="{FF2B5EF4-FFF2-40B4-BE49-F238E27FC236}">
              <a16:creationId xmlns:a16="http://schemas.microsoft.com/office/drawing/2014/main" id="{115FC4E9-F8F1-47D0-8741-57EF7AE543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1" name="Text Box 13">
          <a:extLst>
            <a:ext uri="{FF2B5EF4-FFF2-40B4-BE49-F238E27FC236}">
              <a16:creationId xmlns:a16="http://schemas.microsoft.com/office/drawing/2014/main" id="{10561A73-E200-40B4-B363-B6685012649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2" name="Text Box 14">
          <a:extLst>
            <a:ext uri="{FF2B5EF4-FFF2-40B4-BE49-F238E27FC236}">
              <a16:creationId xmlns:a16="http://schemas.microsoft.com/office/drawing/2014/main" id="{86867E8A-F95D-4412-8F3D-C6A0A6D596A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3" name="Text Box 15">
          <a:extLst>
            <a:ext uri="{FF2B5EF4-FFF2-40B4-BE49-F238E27FC236}">
              <a16:creationId xmlns:a16="http://schemas.microsoft.com/office/drawing/2014/main" id="{F5691245-4654-4390-9C9C-ADD50642437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4" name="Text Box 16">
          <a:extLst>
            <a:ext uri="{FF2B5EF4-FFF2-40B4-BE49-F238E27FC236}">
              <a16:creationId xmlns:a16="http://schemas.microsoft.com/office/drawing/2014/main" id="{9A2E983A-24C6-4FC6-9EDD-FAAD7798C7D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5" name="Text Box 17">
          <a:extLst>
            <a:ext uri="{FF2B5EF4-FFF2-40B4-BE49-F238E27FC236}">
              <a16:creationId xmlns:a16="http://schemas.microsoft.com/office/drawing/2014/main" id="{D7A50633-6238-4693-8A99-C3E7DC51299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6" name="Text Box 18">
          <a:extLst>
            <a:ext uri="{FF2B5EF4-FFF2-40B4-BE49-F238E27FC236}">
              <a16:creationId xmlns:a16="http://schemas.microsoft.com/office/drawing/2014/main" id="{25D6A79D-5EBD-4155-A3D4-30CB5343635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788623" name="Imagen 14">
          <a:extLst>
            <a:ext uri="{FF2B5EF4-FFF2-40B4-BE49-F238E27FC236}">
              <a16:creationId xmlns:a16="http://schemas.microsoft.com/office/drawing/2014/main" id="{28ECCFE7-221D-4522-9E6D-B45887AED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85725</xdr:rowOff>
    </xdr:from>
    <xdr:to>
      <xdr:col>8</xdr:col>
      <xdr:colOff>552450</xdr:colOff>
      <xdr:row>7</xdr:row>
      <xdr:rowOff>144780</xdr:rowOff>
    </xdr:to>
    <xdr:sp macro="" textlink="">
      <xdr:nvSpPr>
        <xdr:cNvPr id="24579" name="Text Box 3">
          <a:extLst>
            <a:ext uri="{FF2B5EF4-FFF2-40B4-BE49-F238E27FC236}">
              <a16:creationId xmlns:a16="http://schemas.microsoft.com/office/drawing/2014/main" id="{A359701F-D43C-45E0-81B8-28CEA7A8C398}"/>
            </a:ext>
          </a:extLst>
        </xdr:cNvPr>
        <xdr:cNvSpPr txBox="1">
          <a:spLocks noChangeArrowheads="1"/>
        </xdr:cNvSpPr>
      </xdr:nvSpPr>
      <xdr:spPr bwMode="auto">
        <a:xfrm>
          <a:off x="2146935" y="390525"/>
          <a:ext cx="4021455" cy="82105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4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+mn-lt"/>
            </a:rPr>
            <a:t>DATOS ESTADÍSTICOS SECTOR PESQUERO </a:t>
          </a: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+mn-lt"/>
            </a:rPr>
            <a:t>PRIMER SEMESTRE AÑO 2023</a:t>
          </a: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104775</xdr:colOff>
      <xdr:row>9</xdr:row>
      <xdr:rowOff>7620</xdr:rowOff>
    </xdr:to>
    <xdr:pic>
      <xdr:nvPicPr>
        <xdr:cNvPr id="1295986" name="Imagen 4">
          <a:extLst>
            <a:ext uri="{FF2B5EF4-FFF2-40B4-BE49-F238E27FC236}">
              <a16:creationId xmlns:a16="http://schemas.microsoft.com/office/drawing/2014/main" id="{47303465-6A32-49FB-B153-682B34180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0" name="Text Box 8">
          <a:extLst>
            <a:ext uri="{FF2B5EF4-FFF2-40B4-BE49-F238E27FC236}">
              <a16:creationId xmlns:a16="http://schemas.microsoft.com/office/drawing/2014/main" id="{F6E6E22E-C35E-4C8B-94F2-4032E642399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1" name="Text Box 9">
          <a:extLst>
            <a:ext uri="{FF2B5EF4-FFF2-40B4-BE49-F238E27FC236}">
              <a16:creationId xmlns:a16="http://schemas.microsoft.com/office/drawing/2014/main" id="{B3091F10-14A6-4640-A995-380000F8AFD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5" name="Text Box 13">
          <a:extLst>
            <a:ext uri="{FF2B5EF4-FFF2-40B4-BE49-F238E27FC236}">
              <a16:creationId xmlns:a16="http://schemas.microsoft.com/office/drawing/2014/main" id="{F52AA50E-7468-4EA4-A5B7-40A0FAE1C5B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6" name="Text Box 14">
          <a:extLst>
            <a:ext uri="{FF2B5EF4-FFF2-40B4-BE49-F238E27FC236}">
              <a16:creationId xmlns:a16="http://schemas.microsoft.com/office/drawing/2014/main" id="{91671031-9264-4B7D-896A-8F4F8AEEF24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7" name="Text Box 15">
          <a:extLst>
            <a:ext uri="{FF2B5EF4-FFF2-40B4-BE49-F238E27FC236}">
              <a16:creationId xmlns:a16="http://schemas.microsoft.com/office/drawing/2014/main" id="{99F97F00-D021-45DA-8425-BAC10D1F114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8" name="Text Box 16">
          <a:extLst>
            <a:ext uri="{FF2B5EF4-FFF2-40B4-BE49-F238E27FC236}">
              <a16:creationId xmlns:a16="http://schemas.microsoft.com/office/drawing/2014/main" id="{D5D83973-9DE3-470C-9212-56EAC89F050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9" name="Text Box 17">
          <a:extLst>
            <a:ext uri="{FF2B5EF4-FFF2-40B4-BE49-F238E27FC236}">
              <a16:creationId xmlns:a16="http://schemas.microsoft.com/office/drawing/2014/main" id="{D9626ECE-D8A0-4F01-B8DB-2787ED24E9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0" name="Text Box 18">
          <a:extLst>
            <a:ext uri="{FF2B5EF4-FFF2-40B4-BE49-F238E27FC236}">
              <a16:creationId xmlns:a16="http://schemas.microsoft.com/office/drawing/2014/main" id="{5447F5E8-D72C-47AE-A5F8-7A63F7095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1" name="Text Box 19">
          <a:extLst>
            <a:ext uri="{FF2B5EF4-FFF2-40B4-BE49-F238E27FC236}">
              <a16:creationId xmlns:a16="http://schemas.microsoft.com/office/drawing/2014/main" id="{ECB09AAD-ADF7-4B38-8130-D83F1D0D2F6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2" name="Text Box 20">
          <a:extLst>
            <a:ext uri="{FF2B5EF4-FFF2-40B4-BE49-F238E27FC236}">
              <a16:creationId xmlns:a16="http://schemas.microsoft.com/office/drawing/2014/main" id="{8B615B1E-A100-4FE6-B819-276C513AD15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3" name="Text Box 21">
          <a:extLst>
            <a:ext uri="{FF2B5EF4-FFF2-40B4-BE49-F238E27FC236}">
              <a16:creationId xmlns:a16="http://schemas.microsoft.com/office/drawing/2014/main" id="{6CF882B4-A816-433E-9177-5607E105B83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4" name="Text Box 22">
          <a:extLst>
            <a:ext uri="{FF2B5EF4-FFF2-40B4-BE49-F238E27FC236}">
              <a16:creationId xmlns:a16="http://schemas.microsoft.com/office/drawing/2014/main" id="{9190F846-F073-49E4-A0D9-1442CE81DA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390525</xdr:colOff>
      <xdr:row>8</xdr:row>
      <xdr:rowOff>83820</xdr:rowOff>
    </xdr:to>
    <xdr:pic>
      <xdr:nvPicPr>
        <xdr:cNvPr id="1867249" name="Imagen 16">
          <a:extLst>
            <a:ext uri="{FF2B5EF4-FFF2-40B4-BE49-F238E27FC236}">
              <a16:creationId xmlns:a16="http://schemas.microsoft.com/office/drawing/2014/main" id="{27F26DF9-037E-41DC-BC27-03E93DD93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17335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showGridLines="0" zoomScaleNormal="75" zoomScaleSheetLayoutView="100" workbookViewId="0">
      <selection activeCell="F17" sqref="F17"/>
    </sheetView>
  </sheetViews>
  <sheetFormatPr defaultColWidth="9.140625" defaultRowHeight="12.75"/>
  <cols>
    <col min="1" max="1" width="4.28515625" customWidth="1"/>
    <col min="2" max="6" width="12.42578125" customWidth="1"/>
    <col min="7" max="256" width="11.42578125" customWidth="1"/>
  </cols>
  <sheetData>
    <row r="1" spans="1:9">
      <c r="A1" s="9"/>
      <c r="B1" s="10"/>
      <c r="C1" s="10"/>
      <c r="D1" s="10"/>
      <c r="E1" s="10"/>
      <c r="F1" s="10"/>
      <c r="G1" s="10"/>
      <c r="H1" s="10"/>
      <c r="I1" s="10"/>
    </row>
    <row r="2" spans="1:9">
      <c r="A2" s="11"/>
      <c r="B2" s="9"/>
      <c r="C2" s="9"/>
      <c r="D2" s="9"/>
      <c r="E2" s="9"/>
      <c r="F2" s="9"/>
      <c r="G2" s="9"/>
      <c r="H2" s="9"/>
      <c r="I2" s="9"/>
    </row>
    <row r="3" spans="1:9">
      <c r="A3" s="11"/>
      <c r="B3" s="9"/>
      <c r="C3" s="9"/>
      <c r="D3" s="9"/>
      <c r="E3" s="9"/>
      <c r="F3" s="9"/>
      <c r="G3" s="9"/>
      <c r="H3" s="9"/>
      <c r="I3" s="9"/>
    </row>
    <row r="4" spans="1:9">
      <c r="A4" s="12"/>
      <c r="B4" s="9"/>
      <c r="C4" s="9"/>
      <c r="D4" s="9"/>
      <c r="E4" s="9"/>
      <c r="F4" s="9"/>
      <c r="G4" s="9"/>
      <c r="H4" s="9"/>
      <c r="I4" s="9"/>
    </row>
    <row r="5" spans="1:9">
      <c r="A5" s="11"/>
      <c r="B5" s="9"/>
      <c r="C5" s="9"/>
      <c r="D5" s="9"/>
      <c r="E5" s="9"/>
      <c r="F5" s="9"/>
      <c r="G5" s="9"/>
      <c r="H5" s="9"/>
      <c r="I5" s="9"/>
    </row>
    <row r="6" spans="1:9">
      <c r="A6" s="12"/>
      <c r="B6" s="9"/>
      <c r="C6" s="9"/>
      <c r="D6" s="9"/>
      <c r="E6" s="9"/>
      <c r="F6" s="9"/>
      <c r="G6" s="9"/>
      <c r="H6" s="9"/>
      <c r="I6" s="9"/>
    </row>
    <row r="7" spans="1:9">
      <c r="A7" s="12"/>
      <c r="B7" s="9"/>
      <c r="C7" s="9"/>
      <c r="D7" s="9"/>
      <c r="E7" s="9"/>
      <c r="F7" s="9"/>
      <c r="G7" s="9"/>
      <c r="H7" s="9"/>
      <c r="I7" s="9"/>
    </row>
    <row r="8" spans="1:9">
      <c r="A8" s="12"/>
      <c r="B8" s="9"/>
      <c r="C8" s="9"/>
      <c r="D8" s="9"/>
      <c r="E8" s="9"/>
      <c r="F8" s="9"/>
      <c r="G8" s="9"/>
      <c r="H8" s="9"/>
      <c r="I8" s="9"/>
    </row>
    <row r="9" spans="1:9">
      <c r="A9" s="13"/>
      <c r="B9" s="14"/>
      <c r="C9" s="14"/>
      <c r="D9" s="13"/>
      <c r="E9" s="14"/>
      <c r="F9" s="14"/>
      <c r="G9" s="14"/>
      <c r="H9" s="13"/>
      <c r="I9" s="13"/>
    </row>
    <row r="10" spans="1:9">
      <c r="A10" s="41"/>
      <c r="B10" s="15"/>
      <c r="C10" s="15"/>
      <c r="D10" s="15"/>
      <c r="E10" s="15"/>
      <c r="F10" s="13"/>
      <c r="G10" s="13"/>
      <c r="H10" s="13"/>
      <c r="I10" s="13"/>
    </row>
    <row r="11" spans="1:9">
      <c r="A11" s="41"/>
      <c r="B11" s="16"/>
      <c r="C11" s="13"/>
      <c r="D11" s="42"/>
      <c r="E11" s="13"/>
      <c r="F11" s="13"/>
      <c r="G11" s="13"/>
      <c r="H11" s="13"/>
      <c r="I11" s="13"/>
    </row>
    <row r="12" spans="1:9">
      <c r="A12" s="41"/>
      <c r="B12" s="16"/>
      <c r="C12" s="13"/>
      <c r="D12" s="42"/>
      <c r="E12" s="13"/>
      <c r="F12" s="13"/>
      <c r="G12" s="13"/>
      <c r="H12" s="13"/>
      <c r="I12" s="13"/>
    </row>
    <row r="13" spans="1:9">
      <c r="A13" s="41"/>
      <c r="B13" s="16"/>
      <c r="C13" s="13"/>
      <c r="D13" s="42"/>
      <c r="E13" s="13"/>
      <c r="F13" s="13"/>
      <c r="G13" s="13"/>
      <c r="H13" s="13"/>
      <c r="I13" s="13"/>
    </row>
    <row r="14" spans="1:9">
      <c r="A14" s="41"/>
      <c r="B14" s="16"/>
      <c r="C14" s="13"/>
      <c r="D14" s="42"/>
      <c r="E14" s="13"/>
      <c r="F14" s="13"/>
      <c r="G14" s="13"/>
      <c r="H14" s="13"/>
      <c r="I14" s="13"/>
    </row>
    <row r="15" spans="1:9">
      <c r="A15" s="41"/>
      <c r="B15" s="16"/>
      <c r="C15" s="13"/>
      <c r="D15" s="42"/>
      <c r="E15" s="13"/>
      <c r="F15" s="13"/>
      <c r="G15" s="13"/>
      <c r="H15" s="13"/>
      <c r="I15" s="13"/>
    </row>
    <row r="16" spans="1:9" ht="15.75">
      <c r="A16" s="41"/>
      <c r="B16" s="16"/>
      <c r="C16" s="13"/>
      <c r="D16" s="271" t="s">
        <v>0</v>
      </c>
      <c r="E16" s="271"/>
      <c r="F16" s="151">
        <v>2023</v>
      </c>
      <c r="G16" s="33"/>
      <c r="H16" s="13"/>
      <c r="I16" s="13"/>
    </row>
    <row r="17" spans="1:9">
      <c r="A17" s="41"/>
      <c r="B17" s="16"/>
      <c r="C17" s="13"/>
      <c r="D17" s="9"/>
      <c r="E17" s="9"/>
      <c r="F17" s="13"/>
      <c r="G17" s="13"/>
      <c r="H17" s="13"/>
      <c r="I17" s="13"/>
    </row>
    <row r="18" spans="1:9">
      <c r="A18" s="41"/>
      <c r="B18" s="16"/>
      <c r="C18" s="13"/>
      <c r="D18" s="42"/>
      <c r="E18" s="13"/>
      <c r="F18" s="13"/>
      <c r="G18" s="13"/>
      <c r="H18" s="13"/>
      <c r="I18" s="13"/>
    </row>
    <row r="19" spans="1:9">
      <c r="A19" s="41"/>
      <c r="B19" s="16"/>
      <c r="C19" s="13"/>
      <c r="D19" s="42"/>
      <c r="E19" s="13"/>
      <c r="F19" s="13"/>
      <c r="G19" s="13"/>
      <c r="H19" s="13"/>
      <c r="I19" s="13"/>
    </row>
    <row r="20" spans="1:9">
      <c r="A20" s="41"/>
      <c r="B20" s="16"/>
      <c r="C20" s="13"/>
      <c r="D20" s="42"/>
      <c r="E20" s="13"/>
      <c r="F20" s="13"/>
      <c r="G20" s="13"/>
      <c r="H20" s="13"/>
      <c r="I20" s="13"/>
    </row>
    <row r="21" spans="1:9">
      <c r="A21" s="41"/>
      <c r="B21" s="16"/>
      <c r="C21" s="13"/>
      <c r="D21" s="42"/>
      <c r="E21" s="13"/>
      <c r="F21" s="13"/>
      <c r="G21" s="13"/>
      <c r="H21" s="13"/>
      <c r="I21" s="13"/>
    </row>
    <row r="22" spans="1:9">
      <c r="A22" s="41"/>
      <c r="B22" s="16"/>
      <c r="C22" s="13"/>
      <c r="D22" s="42"/>
      <c r="E22" s="13"/>
      <c r="F22" s="13"/>
      <c r="G22" s="13"/>
      <c r="H22" s="13"/>
      <c r="I22" s="13"/>
    </row>
    <row r="23" spans="1:9">
      <c r="A23" s="41"/>
      <c r="B23" s="16"/>
      <c r="C23" s="13"/>
      <c r="D23" s="42"/>
      <c r="E23" s="13"/>
      <c r="F23" s="13"/>
      <c r="G23" s="13"/>
      <c r="H23" s="13"/>
      <c r="I23" s="13"/>
    </row>
    <row r="24" spans="1:9">
      <c r="A24" s="41"/>
      <c r="B24" s="16"/>
      <c r="C24" s="13"/>
      <c r="D24" s="42"/>
      <c r="E24" s="13"/>
      <c r="F24" s="13"/>
      <c r="G24" s="13"/>
      <c r="H24" s="13"/>
      <c r="I24" s="13"/>
    </row>
    <row r="25" spans="1:9">
      <c r="A25" s="41"/>
      <c r="B25" s="16"/>
      <c r="C25" s="13"/>
      <c r="D25" s="42"/>
      <c r="E25" s="13"/>
      <c r="F25" s="13"/>
      <c r="G25" s="13"/>
      <c r="H25" s="13"/>
      <c r="I25" s="13"/>
    </row>
    <row r="26" spans="1:9">
      <c r="A26" s="41"/>
      <c r="B26" s="16"/>
      <c r="C26" s="13"/>
      <c r="D26" s="42"/>
      <c r="E26" s="13"/>
      <c r="F26" s="13"/>
      <c r="G26" s="13"/>
      <c r="H26" s="13"/>
      <c r="I26" s="13"/>
    </row>
    <row r="27" spans="1:9">
      <c r="A27" s="41"/>
      <c r="B27" s="13"/>
      <c r="C27" s="13"/>
      <c r="D27" s="17"/>
      <c r="E27" s="13"/>
      <c r="F27" s="13"/>
      <c r="G27" s="13"/>
      <c r="H27" s="13"/>
      <c r="I27" s="13"/>
    </row>
    <row r="28" spans="1:9">
      <c r="A28" s="41"/>
      <c r="B28" s="13"/>
      <c r="C28" s="13"/>
      <c r="D28" s="13"/>
      <c r="E28" s="13"/>
      <c r="F28" s="13"/>
      <c r="G28" s="13"/>
      <c r="H28" s="13"/>
      <c r="I28" s="13"/>
    </row>
    <row r="29" spans="1:9">
      <c r="A29" s="41"/>
      <c r="B29" s="13"/>
      <c r="C29" s="18"/>
      <c r="D29" s="19"/>
      <c r="E29" s="13"/>
      <c r="F29" s="13"/>
      <c r="G29" s="13"/>
      <c r="H29" s="13"/>
      <c r="I29" s="13"/>
    </row>
    <row r="30" spans="1:9">
      <c r="A30" s="41"/>
      <c r="B30" s="13"/>
      <c r="C30" s="13"/>
      <c r="D30" s="13"/>
      <c r="E30" s="13"/>
      <c r="F30" s="13"/>
      <c r="G30" s="13"/>
      <c r="H30" s="13"/>
      <c r="I30" s="13"/>
    </row>
    <row r="31" spans="1:9">
      <c r="A31" s="41"/>
      <c r="B31" s="13"/>
      <c r="C31" s="13"/>
      <c r="D31" s="13"/>
      <c r="E31" s="13"/>
      <c r="F31" s="13"/>
      <c r="G31" s="13"/>
      <c r="H31" s="13"/>
      <c r="I31" s="13"/>
    </row>
    <row r="32" spans="1:9">
      <c r="A32" s="41"/>
      <c r="B32" s="20"/>
      <c r="C32" s="13"/>
      <c r="D32" s="13"/>
      <c r="E32" s="13"/>
      <c r="F32" s="13"/>
      <c r="G32" s="13"/>
      <c r="H32" s="13"/>
      <c r="I32" s="13"/>
    </row>
    <row r="33" spans="1:9">
      <c r="A33" s="41"/>
      <c r="B33" s="21"/>
      <c r="C33" s="21"/>
      <c r="D33" s="15"/>
      <c r="E33" s="15"/>
      <c r="F33" s="15"/>
      <c r="G33" s="13"/>
      <c r="H33" s="13"/>
      <c r="I33" s="13"/>
    </row>
    <row r="34" spans="1:9">
      <c r="A34" s="41"/>
      <c r="B34" s="13"/>
      <c r="C34" s="13"/>
      <c r="D34" s="42"/>
      <c r="E34" s="22"/>
      <c r="F34" s="23"/>
      <c r="G34" s="13"/>
      <c r="H34" s="13"/>
      <c r="I34" s="13"/>
    </row>
    <row r="35" spans="1:9">
      <c r="A35" s="41"/>
      <c r="B35" s="13"/>
      <c r="C35" s="13"/>
      <c r="D35" s="42"/>
      <c r="E35" s="22"/>
      <c r="F35" s="23"/>
      <c r="G35" s="13"/>
      <c r="H35" s="13"/>
      <c r="I35" s="13"/>
    </row>
    <row r="36" spans="1:9">
      <c r="A36" s="41"/>
      <c r="B36" s="13"/>
      <c r="C36" s="13"/>
      <c r="D36" s="42"/>
      <c r="E36" s="22"/>
      <c r="F36" s="23"/>
      <c r="G36" s="13"/>
      <c r="H36" s="13"/>
      <c r="I36" s="13"/>
    </row>
    <row r="37" spans="1:9">
      <c r="A37" s="41"/>
      <c r="B37" s="13"/>
      <c r="C37" s="13"/>
      <c r="D37" s="42"/>
      <c r="E37" s="22"/>
      <c r="F37" s="23"/>
      <c r="G37" s="13"/>
      <c r="H37" s="13"/>
      <c r="I37" s="13"/>
    </row>
    <row r="38" spans="1:9">
      <c r="A38" s="41"/>
      <c r="B38" s="13"/>
      <c r="C38" s="13"/>
      <c r="D38" s="42"/>
      <c r="E38" s="22"/>
      <c r="F38" s="23"/>
      <c r="G38" s="13"/>
      <c r="H38" s="13"/>
      <c r="I38" s="13"/>
    </row>
    <row r="39" spans="1:9">
      <c r="A39" s="41"/>
      <c r="B39" s="13"/>
      <c r="C39" s="24"/>
      <c r="D39" s="17"/>
      <c r="E39" s="17"/>
      <c r="F39" s="25"/>
      <c r="G39" s="13"/>
      <c r="H39" s="13"/>
      <c r="I39" s="13"/>
    </row>
    <row r="40" spans="1:9">
      <c r="A40" s="41"/>
      <c r="B40" s="13"/>
      <c r="C40" s="13"/>
      <c r="D40" s="13"/>
      <c r="E40" s="13"/>
      <c r="F40" s="13"/>
      <c r="G40" s="13"/>
      <c r="H40" s="13"/>
      <c r="I40" s="13"/>
    </row>
    <row r="41" spans="1:9">
      <c r="A41" s="41"/>
      <c r="B41" s="13"/>
      <c r="C41" s="13"/>
      <c r="D41" s="13"/>
      <c r="E41" s="13"/>
      <c r="F41" s="13"/>
      <c r="G41" s="13"/>
      <c r="H41" s="13"/>
      <c r="I41" s="13"/>
    </row>
    <row r="42" spans="1:9">
      <c r="A42" s="41"/>
      <c r="B42" s="13"/>
      <c r="C42" s="13"/>
      <c r="D42" s="13"/>
      <c r="E42" s="13"/>
      <c r="F42" s="13"/>
      <c r="G42" s="13"/>
      <c r="H42" s="13"/>
      <c r="I42" s="13"/>
    </row>
    <row r="43" spans="1:9">
      <c r="A43" s="41"/>
      <c r="B43" s="13"/>
      <c r="C43" s="13"/>
      <c r="D43" s="13"/>
      <c r="E43" s="13"/>
      <c r="F43" s="13"/>
      <c r="G43" s="13"/>
      <c r="H43" s="13"/>
      <c r="I43" s="13"/>
    </row>
    <row r="44" spans="1:9">
      <c r="A44" s="41"/>
      <c r="B44" s="26"/>
      <c r="C44" s="26"/>
      <c r="D44" s="13"/>
      <c r="E44" s="13"/>
      <c r="F44" s="13"/>
      <c r="G44" s="13"/>
      <c r="H44" s="13"/>
      <c r="I44" s="13"/>
    </row>
    <row r="45" spans="1:9">
      <c r="A45" s="41"/>
      <c r="B45" s="27"/>
      <c r="C45" s="27"/>
      <c r="D45" s="28"/>
      <c r="E45" s="28"/>
      <c r="F45" s="28"/>
      <c r="G45" s="13"/>
      <c r="H45" s="13"/>
      <c r="I45" s="13"/>
    </row>
    <row r="46" spans="1:9">
      <c r="A46" s="41"/>
      <c r="B46" s="13"/>
      <c r="C46" s="13"/>
      <c r="D46" s="42"/>
      <c r="E46" s="22"/>
      <c r="F46" s="23"/>
      <c r="G46" s="13"/>
      <c r="H46" s="13"/>
      <c r="I46" s="13"/>
    </row>
    <row r="47" spans="1:9">
      <c r="A47" s="41"/>
      <c r="B47" s="13"/>
      <c r="C47" s="13"/>
      <c r="D47" s="42"/>
      <c r="E47" s="22"/>
      <c r="F47" s="23"/>
      <c r="G47" s="13"/>
      <c r="H47" s="13"/>
      <c r="I47" s="13"/>
    </row>
    <row r="48" spans="1:9">
      <c r="A48" s="41"/>
      <c r="B48" s="13"/>
      <c r="C48" s="13"/>
      <c r="D48" s="42"/>
      <c r="E48" s="22"/>
      <c r="F48" s="23"/>
      <c r="G48" s="13"/>
      <c r="H48" s="13"/>
      <c r="I48" s="13"/>
    </row>
    <row r="49" spans="1:9">
      <c r="A49" s="41"/>
      <c r="B49" s="13"/>
      <c r="C49" s="13"/>
      <c r="D49" s="42"/>
      <c r="E49" s="22"/>
      <c r="F49" s="23"/>
      <c r="G49" s="13"/>
      <c r="H49" s="13"/>
      <c r="I49" s="13"/>
    </row>
    <row r="50" spans="1:9">
      <c r="A50" s="41"/>
      <c r="B50" s="13"/>
      <c r="C50" s="13"/>
      <c r="D50" s="42"/>
      <c r="E50" s="22"/>
      <c r="F50" s="23"/>
      <c r="G50" s="13"/>
      <c r="H50" s="13"/>
      <c r="I50" s="13"/>
    </row>
    <row r="51" spans="1:9">
      <c r="A51" s="41"/>
      <c r="B51" s="13"/>
      <c r="C51" s="29"/>
      <c r="D51" s="30"/>
      <c r="E51" s="30"/>
      <c r="F51" s="31"/>
      <c r="G51" s="13"/>
      <c r="H51" s="13"/>
      <c r="I51" s="13"/>
    </row>
    <row r="52" spans="1:9">
      <c r="A52" s="41"/>
      <c r="B52" s="13"/>
      <c r="C52" s="13"/>
      <c r="D52" s="13"/>
      <c r="E52" s="13"/>
      <c r="F52" s="13"/>
      <c r="G52" s="13"/>
      <c r="H52" s="13"/>
      <c r="I52" s="13"/>
    </row>
    <row r="53" spans="1:9">
      <c r="A53" s="41"/>
      <c r="B53" s="13"/>
      <c r="C53" s="13"/>
      <c r="D53" s="13"/>
      <c r="E53" s="13"/>
      <c r="F53" s="13"/>
      <c r="G53" s="13"/>
      <c r="H53" s="13"/>
      <c r="I53" s="13"/>
    </row>
    <row r="54" spans="1:9">
      <c r="A54" s="41"/>
      <c r="B54" s="13"/>
      <c r="C54" s="13"/>
      <c r="D54" s="13"/>
      <c r="E54" s="13"/>
      <c r="F54" s="13"/>
      <c r="G54" s="13"/>
      <c r="H54" s="13"/>
      <c r="I54" s="13"/>
    </row>
    <row r="55" spans="1:9">
      <c r="A55" s="41"/>
      <c r="B55" s="13"/>
      <c r="C55" s="13"/>
      <c r="D55" s="13"/>
      <c r="E55" s="13"/>
      <c r="F55" s="13"/>
      <c r="G55" s="13"/>
      <c r="H55" s="13"/>
      <c r="I55" s="13"/>
    </row>
    <row r="56" spans="1:9">
      <c r="A56" s="32"/>
      <c r="B56" s="13"/>
      <c r="C56" s="13"/>
      <c r="D56" s="13"/>
      <c r="E56" s="13"/>
      <c r="F56" s="13"/>
      <c r="G56" s="13"/>
      <c r="H56" s="13"/>
      <c r="I56" s="13"/>
    </row>
    <row r="57" spans="1:9">
      <c r="A57" s="13"/>
      <c r="B57" s="13"/>
      <c r="C57" s="13"/>
      <c r="D57" s="13"/>
      <c r="E57" s="13"/>
      <c r="F57" s="13"/>
      <c r="G57" s="13"/>
      <c r="H57" s="13"/>
      <c r="I57" s="13"/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  <row r="59" spans="1:9">
      <c r="A59" s="13"/>
      <c r="B59" s="13"/>
      <c r="C59" s="13"/>
      <c r="D59" s="13"/>
      <c r="E59" s="13"/>
      <c r="F59" s="13"/>
      <c r="G59" s="13"/>
      <c r="H59" s="13"/>
      <c r="I59" s="13"/>
    </row>
    <row r="60" spans="1:9">
      <c r="A60" s="13"/>
      <c r="B60" s="13"/>
      <c r="C60" s="13"/>
      <c r="D60" s="13"/>
      <c r="E60" s="13"/>
      <c r="F60" s="13"/>
      <c r="G60" s="13"/>
      <c r="H60" s="13"/>
      <c r="I60" s="13"/>
    </row>
    <row r="61" spans="1:9">
      <c r="A61" s="13"/>
      <c r="B61" s="13"/>
      <c r="C61" s="13"/>
      <c r="D61" s="13"/>
      <c r="E61" s="13"/>
      <c r="F61" s="13"/>
      <c r="G61" s="13"/>
      <c r="H61" s="13"/>
      <c r="I61" s="13"/>
    </row>
    <row r="62" spans="1:9">
      <c r="A62" s="13"/>
      <c r="B62" s="13"/>
      <c r="C62" s="13"/>
      <c r="D62" s="13"/>
      <c r="E62" s="13"/>
      <c r="F62" s="13"/>
      <c r="G62" s="13"/>
      <c r="H62" s="13"/>
      <c r="I62" s="13"/>
    </row>
    <row r="63" spans="1:9">
      <c r="A63" s="13"/>
      <c r="B63" s="13"/>
      <c r="C63" s="13"/>
      <c r="D63" s="13"/>
      <c r="E63" s="13"/>
      <c r="F63" s="13"/>
      <c r="G63" s="13"/>
      <c r="H63" s="13"/>
      <c r="I63" s="13"/>
    </row>
    <row r="64" spans="1:9">
      <c r="A64" s="13"/>
      <c r="B64" s="13"/>
      <c r="C64" s="13"/>
      <c r="D64" s="13"/>
      <c r="E64" s="13"/>
      <c r="F64" s="13"/>
      <c r="G64" s="13"/>
      <c r="H64" s="13"/>
      <c r="I64" s="13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</sheetData>
  <mergeCells count="1">
    <mergeCell ref="D16:E16"/>
  </mergeCells>
  <phoneticPr fontId="0" type="noConversion"/>
  <pageMargins left="0.75" right="0.75" top="1" bottom="1" header="0" footer="0"/>
  <pageSetup paperSize="9" scale="50" orientation="portrait" horizontalDpi="4294967293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1"/>
  <sheetViews>
    <sheetView showGridLines="0" zoomScaleNormal="100" workbookViewId="0">
      <selection activeCell="H11" sqref="H11:J11"/>
    </sheetView>
  </sheetViews>
  <sheetFormatPr defaultColWidth="9.140625" defaultRowHeight="12"/>
  <cols>
    <col min="1" max="2" width="4.28515625" style="199" customWidth="1"/>
    <col min="3" max="10" width="12.42578125" style="199" customWidth="1"/>
    <col min="11" max="256" width="11.42578125" style="199" customWidth="1"/>
    <col min="257" max="16384" width="9.140625" style="199"/>
  </cols>
  <sheetData>
    <row r="1" spans="1:11">
      <c r="A1" s="100"/>
      <c r="B1" s="100"/>
      <c r="C1" s="152"/>
      <c r="D1" s="152"/>
      <c r="E1" s="152"/>
      <c r="F1" s="152"/>
      <c r="G1" s="152"/>
      <c r="H1" s="152"/>
      <c r="I1" s="152"/>
      <c r="J1" s="152"/>
      <c r="K1" s="100"/>
    </row>
    <row r="2" spans="1:11">
      <c r="A2" s="153"/>
      <c r="B2" s="153"/>
      <c r="C2" s="100"/>
      <c r="D2" s="100"/>
      <c r="E2" s="100"/>
      <c r="F2" s="100"/>
      <c r="G2" s="100"/>
      <c r="H2" s="100"/>
      <c r="I2" s="100"/>
      <c r="J2" s="100"/>
      <c r="K2" s="100"/>
    </row>
    <row r="3" spans="1:11">
      <c r="A3" s="153"/>
      <c r="B3" s="153"/>
      <c r="C3" s="100"/>
      <c r="D3" s="100"/>
      <c r="E3" s="100"/>
      <c r="F3" s="100"/>
      <c r="G3" s="100"/>
      <c r="H3" s="100"/>
      <c r="I3" s="100"/>
      <c r="J3" s="100"/>
      <c r="K3" s="100"/>
    </row>
    <row r="4" spans="1:11">
      <c r="A4" s="210"/>
      <c r="B4" s="210"/>
      <c r="C4" s="100"/>
      <c r="D4" s="100"/>
      <c r="E4" s="100"/>
      <c r="F4" s="100"/>
      <c r="G4" s="100"/>
      <c r="H4" s="100"/>
      <c r="I4" s="100"/>
      <c r="J4" s="100"/>
      <c r="K4" s="100"/>
    </row>
    <row r="5" spans="1:11">
      <c r="A5" s="153"/>
      <c r="B5" s="153"/>
      <c r="C5" s="100"/>
      <c r="D5" s="100"/>
      <c r="E5" s="100"/>
      <c r="F5" s="100"/>
      <c r="G5" s="100"/>
      <c r="H5" s="100"/>
      <c r="I5" s="100"/>
      <c r="J5" s="100"/>
      <c r="K5" s="100"/>
    </row>
    <row r="6" spans="1:11">
      <c r="A6" s="210"/>
      <c r="B6" s="210"/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8.75">
      <c r="A7" s="210"/>
      <c r="B7" s="210"/>
      <c r="C7" s="100"/>
      <c r="D7" s="100"/>
      <c r="E7" s="272" t="s">
        <v>1</v>
      </c>
      <c r="F7" s="272"/>
      <c r="G7" s="272"/>
      <c r="H7" s="272"/>
      <c r="I7" s="186" t="s">
        <v>58</v>
      </c>
      <c r="J7" s="187">
        <f>CARÁT!$F$16</f>
        <v>2023</v>
      </c>
      <c r="K7" s="100"/>
    </row>
    <row r="8" spans="1:11">
      <c r="A8" s="210"/>
      <c r="B8" s="210"/>
      <c r="C8" s="100"/>
      <c r="D8" s="100"/>
      <c r="E8" s="100"/>
      <c r="F8" s="100"/>
      <c r="G8" s="100"/>
      <c r="H8" s="100"/>
      <c r="I8" s="100"/>
      <c r="J8" s="100"/>
      <c r="K8" s="100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100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100"/>
    </row>
    <row r="11" spans="1:11">
      <c r="A11" s="153"/>
      <c r="B11" s="153">
        <v>48</v>
      </c>
      <c r="C11" s="156">
        <v>45154</v>
      </c>
      <c r="D11" s="327" t="s">
        <v>59</v>
      </c>
      <c r="E11" s="327"/>
      <c r="F11" s="275">
        <v>48330</v>
      </c>
      <c r="G11" s="275"/>
      <c r="H11" s="157" t="s">
        <v>9</v>
      </c>
      <c r="I11" s="157"/>
      <c r="J11" s="157"/>
      <c r="K11" s="100"/>
    </row>
    <row r="12" spans="1:11">
      <c r="A12" s="153"/>
      <c r="B12" s="153">
        <v>49</v>
      </c>
      <c r="C12" s="156">
        <v>45154</v>
      </c>
      <c r="D12" s="327" t="s">
        <v>36</v>
      </c>
      <c r="E12" s="327"/>
      <c r="F12" s="275">
        <v>33990</v>
      </c>
      <c r="G12" s="275"/>
      <c r="H12" s="157" t="s">
        <v>9</v>
      </c>
      <c r="I12" s="157"/>
      <c r="J12" s="157"/>
      <c r="K12" s="100"/>
    </row>
    <row r="13" spans="1:11">
      <c r="A13" s="153"/>
      <c r="B13" s="153">
        <v>50</v>
      </c>
      <c r="C13" s="156">
        <v>45165</v>
      </c>
      <c r="D13" s="327" t="s">
        <v>36</v>
      </c>
      <c r="E13" s="327"/>
      <c r="F13" s="275">
        <v>28560</v>
      </c>
      <c r="G13" s="275"/>
      <c r="H13" s="157" t="s">
        <v>9</v>
      </c>
      <c r="I13" s="157"/>
      <c r="J13" s="157"/>
      <c r="K13" s="100"/>
    </row>
    <row r="14" spans="1:11">
      <c r="A14" s="153"/>
      <c r="B14" s="153">
        <v>51</v>
      </c>
      <c r="C14" s="156">
        <v>45165</v>
      </c>
      <c r="D14" s="327" t="s">
        <v>42</v>
      </c>
      <c r="E14" s="327"/>
      <c r="F14" s="275">
        <v>21510</v>
      </c>
      <c r="G14" s="275"/>
      <c r="H14" s="157" t="s">
        <v>9</v>
      </c>
      <c r="I14" s="157"/>
      <c r="J14" s="157"/>
      <c r="K14" s="100"/>
    </row>
    <row r="15" spans="1:11">
      <c r="A15" s="153"/>
      <c r="B15" s="153"/>
      <c r="C15" s="156"/>
      <c r="D15" s="327"/>
      <c r="E15" s="327"/>
      <c r="F15" s="275"/>
      <c r="G15" s="275"/>
      <c r="H15" s="273"/>
      <c r="I15" s="273"/>
      <c r="J15" s="273"/>
      <c r="K15" s="100"/>
    </row>
    <row r="16" spans="1:11">
      <c r="A16" s="153"/>
      <c r="B16" s="153"/>
      <c r="C16" s="156"/>
      <c r="D16" s="327"/>
      <c r="E16" s="327"/>
      <c r="F16" s="275"/>
      <c r="G16" s="275"/>
      <c r="H16" s="273"/>
      <c r="I16" s="273"/>
      <c r="J16" s="273"/>
      <c r="K16" s="100"/>
    </row>
    <row r="17" spans="1:11">
      <c r="A17" s="153"/>
      <c r="B17" s="153"/>
      <c r="C17" s="156"/>
      <c r="D17" s="327"/>
      <c r="E17" s="327"/>
      <c r="F17" s="275"/>
      <c r="G17" s="275"/>
      <c r="H17" s="273"/>
      <c r="I17" s="273"/>
      <c r="J17" s="273"/>
      <c r="K17" s="100"/>
    </row>
    <row r="18" spans="1:11">
      <c r="A18" s="153"/>
      <c r="B18" s="153"/>
      <c r="C18" s="156"/>
      <c r="D18" s="327"/>
      <c r="E18" s="327"/>
      <c r="F18" s="275"/>
      <c r="G18" s="275"/>
      <c r="H18" s="273"/>
      <c r="I18" s="273"/>
      <c r="J18" s="273"/>
      <c r="K18" s="100"/>
    </row>
    <row r="19" spans="1:11">
      <c r="A19" s="153"/>
      <c r="B19" s="153"/>
      <c r="C19" s="156"/>
      <c r="D19" s="327"/>
      <c r="E19" s="327"/>
      <c r="F19" s="275"/>
      <c r="G19" s="275"/>
      <c r="H19" s="273"/>
      <c r="I19" s="273"/>
      <c r="J19" s="273"/>
      <c r="K19" s="100"/>
    </row>
    <row r="20" spans="1:11">
      <c r="A20" s="153"/>
      <c r="B20" s="153"/>
      <c r="C20" s="156"/>
      <c r="D20" s="273"/>
      <c r="E20" s="273"/>
      <c r="F20" s="275"/>
      <c r="G20" s="275"/>
      <c r="H20" s="273"/>
      <c r="I20" s="273"/>
      <c r="J20" s="273"/>
      <c r="K20" s="100"/>
    </row>
    <row r="21" spans="1:11">
      <c r="A21" s="153"/>
      <c r="B21" s="153"/>
      <c r="C21" s="156"/>
      <c r="D21" s="327"/>
      <c r="E21" s="327"/>
      <c r="F21" s="275"/>
      <c r="G21" s="275"/>
      <c r="H21" s="273"/>
      <c r="I21" s="273"/>
      <c r="J21" s="273"/>
      <c r="K21" s="100"/>
    </row>
    <row r="22" spans="1:11">
      <c r="A22" s="153"/>
      <c r="B22" s="153"/>
      <c r="C22" s="156"/>
      <c r="D22" s="327"/>
      <c r="E22" s="327"/>
      <c r="F22" s="275"/>
      <c r="G22" s="275"/>
      <c r="H22" s="273"/>
      <c r="I22" s="273"/>
      <c r="J22" s="273"/>
      <c r="K22" s="100"/>
    </row>
    <row r="23" spans="1:11">
      <c r="A23" s="153"/>
      <c r="B23" s="153"/>
      <c r="C23" s="156"/>
      <c r="D23" s="273"/>
      <c r="E23" s="273"/>
      <c r="F23" s="275"/>
      <c r="G23" s="275"/>
      <c r="H23" s="273"/>
      <c r="I23" s="273"/>
      <c r="J23" s="273"/>
      <c r="K23" s="100"/>
    </row>
    <row r="24" spans="1:11">
      <c r="A24" s="153"/>
      <c r="B24" s="153"/>
      <c r="C24" s="156"/>
      <c r="D24" s="273"/>
      <c r="E24" s="273"/>
      <c r="F24" s="275"/>
      <c r="G24" s="275"/>
      <c r="H24" s="273"/>
      <c r="I24" s="273"/>
      <c r="J24" s="273"/>
      <c r="K24" s="100"/>
    </row>
    <row r="25" spans="1:11">
      <c r="A25" s="153"/>
      <c r="B25" s="153"/>
      <c r="C25" s="156"/>
      <c r="D25" s="273"/>
      <c r="E25" s="273"/>
      <c r="F25" s="275"/>
      <c r="G25" s="275"/>
      <c r="H25" s="273"/>
      <c r="I25" s="273"/>
      <c r="J25" s="273"/>
      <c r="K25" s="100"/>
    </row>
    <row r="26" spans="1:11">
      <c r="A26" s="153"/>
      <c r="B26" s="153"/>
      <c r="C26" s="156"/>
      <c r="D26" s="273"/>
      <c r="E26" s="273"/>
      <c r="F26" s="275"/>
      <c r="G26" s="275"/>
      <c r="H26" s="273"/>
      <c r="I26" s="273"/>
      <c r="J26" s="273"/>
      <c r="K26" s="100"/>
    </row>
    <row r="27" spans="1:11">
      <c r="A27" s="153"/>
      <c r="B27" s="153"/>
      <c r="C27" s="156"/>
      <c r="D27" s="273"/>
      <c r="E27" s="273"/>
      <c r="F27" s="275"/>
      <c r="G27" s="275"/>
      <c r="H27" s="273"/>
      <c r="I27" s="273"/>
      <c r="J27" s="273"/>
      <c r="K27" s="100"/>
    </row>
    <row r="28" spans="1:11">
      <c r="A28" s="153"/>
      <c r="B28" s="153"/>
      <c r="C28" s="156"/>
      <c r="D28" s="157"/>
      <c r="E28" s="157"/>
      <c r="F28" s="275"/>
      <c r="G28" s="275"/>
      <c r="H28" s="273"/>
      <c r="I28" s="273"/>
      <c r="J28" s="273"/>
      <c r="K28" s="100"/>
    </row>
    <row r="29" spans="1:11">
      <c r="A29" s="153"/>
      <c r="B29" s="153"/>
      <c r="C29" s="156"/>
      <c r="D29" s="157"/>
      <c r="E29" s="157"/>
      <c r="F29" s="275"/>
      <c r="G29" s="275"/>
      <c r="H29" s="273"/>
      <c r="I29" s="273"/>
      <c r="J29" s="273"/>
      <c r="K29" s="100"/>
    </row>
    <row r="30" spans="1:11">
      <c r="A30" s="153"/>
      <c r="B30" s="153"/>
      <c r="C30" s="156"/>
      <c r="D30" s="157"/>
      <c r="E30" s="157"/>
      <c r="F30" s="275"/>
      <c r="G30" s="275"/>
      <c r="H30" s="273"/>
      <c r="I30" s="273"/>
      <c r="J30" s="273"/>
      <c r="K30" s="100"/>
    </row>
    <row r="31" spans="1:11">
      <c r="A31" s="153"/>
      <c r="B31" s="153"/>
      <c r="C31" s="156"/>
      <c r="D31" s="157"/>
      <c r="E31" s="157"/>
      <c r="F31" s="275"/>
      <c r="G31" s="275"/>
      <c r="H31" s="273"/>
      <c r="I31" s="273"/>
      <c r="J31" s="273"/>
      <c r="K31" s="100"/>
    </row>
    <row r="32" spans="1:11">
      <c r="A32" s="153"/>
      <c r="B32" s="153"/>
      <c r="C32" s="156"/>
      <c r="D32" s="157"/>
      <c r="E32" s="157"/>
      <c r="F32" s="275"/>
      <c r="G32" s="275"/>
      <c r="H32" s="273"/>
      <c r="I32" s="273"/>
      <c r="J32" s="273"/>
      <c r="K32" s="100"/>
    </row>
    <row r="33" spans="1:11">
      <c r="A33" s="153"/>
      <c r="B33" s="153"/>
      <c r="C33" s="156"/>
      <c r="D33" s="273"/>
      <c r="E33" s="273"/>
      <c r="F33" s="288"/>
      <c r="G33" s="288"/>
      <c r="H33" s="273"/>
      <c r="I33" s="273"/>
      <c r="J33" s="273"/>
      <c r="K33" s="100"/>
    </row>
    <row r="34" spans="1:11">
      <c r="A34" s="153"/>
      <c r="B34" s="153"/>
      <c r="C34" s="159"/>
      <c r="D34" s="160"/>
      <c r="E34" s="160"/>
      <c r="F34" s="293">
        <f>SUM(F11:G32)</f>
        <v>132390</v>
      </c>
      <c r="G34" s="294"/>
      <c r="H34" s="95"/>
      <c r="I34" s="95"/>
      <c r="J34" s="95"/>
      <c r="K34" s="100"/>
    </row>
    <row r="35" spans="1:11">
      <c r="A35" s="153"/>
      <c r="B35" s="153"/>
      <c r="C35" s="159"/>
      <c r="D35" s="160"/>
      <c r="E35" s="160"/>
      <c r="F35" s="184"/>
      <c r="G35" s="251"/>
      <c r="H35" s="95"/>
      <c r="I35" s="95"/>
      <c r="J35" s="95"/>
      <c r="K35" s="100"/>
    </row>
    <row r="36" spans="1:11">
      <c r="A36" s="153"/>
      <c r="B36" s="153"/>
      <c r="C36" s="100"/>
      <c r="D36" s="289" t="s">
        <v>10</v>
      </c>
      <c r="E36" s="289"/>
      <c r="F36" s="100"/>
      <c r="G36" s="162">
        <f>F34/1000</f>
        <v>132.38999999999999</v>
      </c>
      <c r="H36" s="100"/>
      <c r="I36" s="100"/>
      <c r="J36" s="100"/>
      <c r="K36" s="100"/>
    </row>
    <row r="37" spans="1:11">
      <c r="A37" s="153"/>
      <c r="B37" s="153"/>
      <c r="C37" s="100"/>
      <c r="D37" s="100"/>
      <c r="E37" s="161"/>
      <c r="F37" s="100"/>
      <c r="G37" s="100"/>
      <c r="H37" s="100"/>
      <c r="I37" s="100"/>
      <c r="J37" s="100"/>
      <c r="K37" s="100"/>
    </row>
    <row r="38" spans="1:11">
      <c r="A38" s="153"/>
      <c r="B38" s="153"/>
      <c r="C38" s="287" t="s">
        <v>11</v>
      </c>
      <c r="D38" s="287"/>
      <c r="E38" s="287" t="s">
        <v>12</v>
      </c>
      <c r="F38" s="287"/>
      <c r="G38" s="154" t="s">
        <v>13</v>
      </c>
      <c r="H38" s="154" t="s">
        <v>14</v>
      </c>
      <c r="I38" s="100"/>
      <c r="J38" s="100"/>
      <c r="K38" s="100"/>
    </row>
    <row r="39" spans="1:11">
      <c r="A39" s="153"/>
      <c r="B39" s="153"/>
      <c r="C39" s="295" t="s">
        <v>19</v>
      </c>
      <c r="D39" s="295"/>
      <c r="E39" s="328">
        <v>0</v>
      </c>
      <c r="F39" s="328"/>
      <c r="G39" s="163">
        <f>+E39/E47</f>
        <v>0</v>
      </c>
      <c r="H39" s="164"/>
      <c r="I39" s="100"/>
      <c r="J39" s="100"/>
      <c r="K39" s="100"/>
    </row>
    <row r="40" spans="1:11">
      <c r="A40" s="153"/>
      <c r="B40" s="153"/>
      <c r="C40" s="273" t="s">
        <v>16</v>
      </c>
      <c r="D40" s="273"/>
      <c r="E40" s="328">
        <v>0</v>
      </c>
      <c r="F40" s="328"/>
      <c r="G40" s="163">
        <f>+E40/E47</f>
        <v>0</v>
      </c>
      <c r="H40" s="164"/>
      <c r="I40" s="100"/>
      <c r="J40" s="100"/>
      <c r="K40" s="100"/>
    </row>
    <row r="41" spans="1:11">
      <c r="A41" s="153"/>
      <c r="B41" s="153"/>
      <c r="C41" s="273" t="s">
        <v>54</v>
      </c>
      <c r="D41" s="273"/>
      <c r="E41" s="328">
        <v>0</v>
      </c>
      <c r="F41" s="328"/>
      <c r="G41" s="163">
        <f>+E41/E47</f>
        <v>0</v>
      </c>
      <c r="H41" s="164"/>
      <c r="I41" s="100"/>
      <c r="J41" s="100"/>
      <c r="K41" s="100"/>
    </row>
    <row r="42" spans="1:11">
      <c r="A42" s="153"/>
      <c r="B42" s="153"/>
      <c r="C42" s="157" t="s">
        <v>37</v>
      </c>
      <c r="D42" s="157"/>
      <c r="E42" s="257"/>
      <c r="F42" s="257">
        <f>F11+F12+F13+F14</f>
        <v>132390</v>
      </c>
      <c r="G42" s="163">
        <f>+F42/E47</f>
        <v>1</v>
      </c>
      <c r="H42" s="164">
        <v>4</v>
      </c>
      <c r="I42" s="100"/>
      <c r="J42" s="100"/>
      <c r="K42" s="100"/>
    </row>
    <row r="43" spans="1:11">
      <c r="A43" s="153"/>
      <c r="B43" s="153"/>
      <c r="C43" s="273" t="s">
        <v>55</v>
      </c>
      <c r="D43" s="273"/>
      <c r="E43" s="328">
        <v>0</v>
      </c>
      <c r="F43" s="328"/>
      <c r="G43" s="163">
        <f>+E43/E47</f>
        <v>0</v>
      </c>
      <c r="H43" s="164"/>
      <c r="I43" s="100"/>
      <c r="J43" s="100"/>
      <c r="K43" s="100"/>
    </row>
    <row r="44" spans="1:11">
      <c r="A44" s="153"/>
      <c r="B44" s="153"/>
      <c r="C44" s="157" t="s">
        <v>56</v>
      </c>
      <c r="D44" s="157"/>
      <c r="E44" s="257"/>
      <c r="F44" s="257">
        <v>0</v>
      </c>
      <c r="G44" s="163">
        <f>+F44/E47</f>
        <v>0</v>
      </c>
      <c r="H44" s="164"/>
      <c r="I44" s="100"/>
      <c r="J44" s="100"/>
      <c r="K44" s="100"/>
    </row>
    <row r="45" spans="1:11">
      <c r="A45" s="153"/>
      <c r="B45" s="153"/>
      <c r="C45" s="157" t="s">
        <v>60</v>
      </c>
      <c r="D45" s="157"/>
      <c r="E45" s="257"/>
      <c r="F45" s="257">
        <v>0</v>
      </c>
      <c r="G45" s="163">
        <f>F45/E47</f>
        <v>0</v>
      </c>
      <c r="H45" s="164"/>
      <c r="I45" s="100"/>
      <c r="J45" s="100"/>
      <c r="K45" s="100"/>
    </row>
    <row r="46" spans="1:11">
      <c r="A46" s="153"/>
      <c r="B46" s="153"/>
      <c r="C46" s="273" t="s">
        <v>61</v>
      </c>
      <c r="D46" s="273"/>
      <c r="E46" s="274">
        <v>0</v>
      </c>
      <c r="F46" s="274"/>
      <c r="G46" s="163">
        <f>+E46/E47</f>
        <v>0</v>
      </c>
      <c r="H46" s="164"/>
      <c r="I46" s="100"/>
      <c r="J46" s="100"/>
      <c r="K46" s="100"/>
    </row>
    <row r="47" spans="1:11">
      <c r="A47" s="153"/>
      <c r="B47" s="153"/>
      <c r="C47" s="165"/>
      <c r="D47" s="166" t="s">
        <v>20</v>
      </c>
      <c r="E47" s="329">
        <f>SUM(E39:F46)</f>
        <v>132390</v>
      </c>
      <c r="F47" s="329"/>
      <c r="G47" s="167">
        <f>SUM(G39:G46)</f>
        <v>1</v>
      </c>
      <c r="H47" s="168">
        <f>SUM(H39:H46)</f>
        <v>4</v>
      </c>
      <c r="I47" s="100"/>
      <c r="J47" s="100"/>
      <c r="K47" s="100"/>
    </row>
    <row r="48" spans="1:11">
      <c r="A48" s="153"/>
      <c r="B48" s="153"/>
      <c r="C48" s="170"/>
      <c r="D48" s="100"/>
      <c r="E48" s="96"/>
      <c r="F48" s="171"/>
      <c r="G48" s="172"/>
      <c r="H48" s="100"/>
      <c r="I48" s="100"/>
      <c r="J48" s="100"/>
      <c r="K48" s="100"/>
    </row>
    <row r="49" spans="1:11">
      <c r="A49" s="153"/>
      <c r="B49" s="153"/>
      <c r="C49" s="283" t="s">
        <v>7</v>
      </c>
      <c r="D49" s="284"/>
      <c r="E49" s="285"/>
      <c r="F49" s="286" t="s">
        <v>6</v>
      </c>
      <c r="G49" s="287"/>
      <c r="H49" s="154" t="s">
        <v>13</v>
      </c>
      <c r="I49" s="100"/>
      <c r="J49" s="100"/>
      <c r="K49" s="100"/>
    </row>
    <row r="50" spans="1:11">
      <c r="A50" s="153"/>
      <c r="B50" s="153"/>
      <c r="C50" s="273" t="s">
        <v>21</v>
      </c>
      <c r="D50" s="273"/>
      <c r="E50" s="273"/>
      <c r="F50" s="158"/>
      <c r="G50" s="158"/>
      <c r="H50" s="163">
        <f>+G50/F52</f>
        <v>0</v>
      </c>
      <c r="I50" s="100"/>
      <c r="J50" s="100"/>
      <c r="K50" s="100"/>
    </row>
    <row r="51" spans="1:11">
      <c r="A51" s="153"/>
      <c r="B51" s="153"/>
      <c r="C51" s="273" t="s">
        <v>22</v>
      </c>
      <c r="D51" s="273"/>
      <c r="E51" s="273"/>
      <c r="F51" s="158"/>
      <c r="G51" s="158">
        <f>F34</f>
        <v>132390</v>
      </c>
      <c r="H51" s="163">
        <f>+G51/F52</f>
        <v>1</v>
      </c>
      <c r="I51" s="100"/>
      <c r="J51" s="100"/>
      <c r="K51" s="100"/>
    </row>
    <row r="52" spans="1:11">
      <c r="A52" s="153"/>
      <c r="B52" s="153"/>
      <c r="C52" s="100"/>
      <c r="D52" s="100" t="s">
        <v>20</v>
      </c>
      <c r="E52" s="100"/>
      <c r="F52" s="278">
        <f>SUM(F50:G51)</f>
        <v>132390</v>
      </c>
      <c r="G52" s="278"/>
      <c r="H52" s="167">
        <f>SUM(H50:H51)</f>
        <v>1</v>
      </c>
      <c r="I52" s="100"/>
      <c r="J52" s="100"/>
      <c r="K52" s="100"/>
    </row>
    <row r="53" spans="1:11">
      <c r="A53" s="153"/>
      <c r="B53" s="153"/>
      <c r="C53" s="100"/>
      <c r="D53" s="100"/>
      <c r="E53" s="100"/>
      <c r="F53" s="184"/>
      <c r="G53" s="184"/>
      <c r="H53" s="185"/>
      <c r="I53" s="100"/>
      <c r="J53" s="100"/>
      <c r="K53" s="100"/>
    </row>
    <row r="54" spans="1:11">
      <c r="A54" s="153"/>
      <c r="B54" s="153"/>
      <c r="C54" s="100"/>
      <c r="D54" s="100"/>
      <c r="E54" s="279" t="s">
        <v>23</v>
      </c>
      <c r="F54" s="279"/>
      <c r="G54" s="279"/>
      <c r="H54" s="279"/>
      <c r="I54" s="100"/>
      <c r="J54" s="100"/>
      <c r="K54" s="100"/>
    </row>
    <row r="55" spans="1:11">
      <c r="A55" s="153"/>
      <c r="B55" s="153"/>
      <c r="C55" s="100"/>
      <c r="D55" s="212"/>
      <c r="E55" s="100"/>
      <c r="F55" s="100"/>
      <c r="G55" s="100"/>
      <c r="H55" s="100"/>
      <c r="I55" s="100"/>
      <c r="J55" s="100"/>
      <c r="K55" s="100"/>
    </row>
    <row r="56" spans="1:11">
      <c r="A56" s="100"/>
      <c r="B56" s="100"/>
      <c r="C56" s="100"/>
      <c r="D56" s="213" t="s">
        <v>24</v>
      </c>
      <c r="E56" s="297" t="s">
        <v>25</v>
      </c>
      <c r="F56" s="298"/>
      <c r="G56" s="297" t="s">
        <v>26</v>
      </c>
      <c r="H56" s="298"/>
      <c r="I56" s="100"/>
      <c r="J56" s="100"/>
      <c r="K56" s="100"/>
    </row>
    <row r="57" spans="1:11">
      <c r="A57" s="100"/>
      <c r="B57" s="100"/>
      <c r="C57" s="100"/>
      <c r="D57" s="214" t="s">
        <v>27</v>
      </c>
      <c r="E57" s="215" t="s">
        <v>28</v>
      </c>
      <c r="F57" s="215" t="s">
        <v>29</v>
      </c>
      <c r="G57" s="215" t="s">
        <v>28</v>
      </c>
      <c r="H57" s="215" t="s">
        <v>29</v>
      </c>
      <c r="I57" s="100"/>
      <c r="J57" s="100"/>
      <c r="K57" s="100"/>
    </row>
    <row r="58" spans="1:11">
      <c r="A58" s="100"/>
      <c r="B58" s="100"/>
      <c r="C58" s="100"/>
      <c r="D58" s="190" t="s">
        <v>30</v>
      </c>
      <c r="E58" s="198">
        <f>Comparativo!AY13</f>
        <v>559.32000000000005</v>
      </c>
      <c r="F58" s="206">
        <f>Comparativo!AZ13</f>
        <v>15</v>
      </c>
      <c r="G58" s="228">
        <f>ENE!$G$46</f>
        <v>123.39</v>
      </c>
      <c r="H58" s="253">
        <f>ENE!$H$55</f>
        <v>4</v>
      </c>
      <c r="I58" s="100"/>
      <c r="J58" s="100"/>
      <c r="K58" s="100"/>
    </row>
    <row r="59" spans="1:11">
      <c r="A59" s="100"/>
      <c r="B59" s="100"/>
      <c r="C59" s="100"/>
      <c r="D59" s="190" t="s">
        <v>34</v>
      </c>
      <c r="E59" s="220">
        <f>Comparativo!AY14</f>
        <v>437.76</v>
      </c>
      <c r="F59" s="219">
        <f>Comparativo!AZ14</f>
        <v>19</v>
      </c>
      <c r="G59" s="229">
        <f>FEB!$G$48</f>
        <v>176.79</v>
      </c>
      <c r="H59" s="209">
        <f>FEB!$H$57</f>
        <v>6</v>
      </c>
      <c r="I59" s="100"/>
      <c r="J59" s="100"/>
      <c r="K59" s="100"/>
    </row>
    <row r="60" spans="1:11">
      <c r="A60" s="100"/>
      <c r="B60" s="100"/>
      <c r="C60" s="100"/>
      <c r="D60" s="197" t="s">
        <v>38</v>
      </c>
      <c r="E60" s="220">
        <f>Comparativo!AY15</f>
        <v>541.5</v>
      </c>
      <c r="F60" s="219">
        <f>Comparativo!AZ15</f>
        <v>15</v>
      </c>
      <c r="G60" s="229">
        <f>MAR!$G$43</f>
        <v>370.56</v>
      </c>
      <c r="H60" s="209">
        <f>MAR!$H$51</f>
        <v>11</v>
      </c>
      <c r="I60" s="100"/>
      <c r="J60" s="100"/>
      <c r="K60" s="100"/>
    </row>
    <row r="61" spans="1:11">
      <c r="A61" s="100"/>
      <c r="B61" s="100"/>
      <c r="C61" s="100"/>
      <c r="D61" s="197" t="s">
        <v>44</v>
      </c>
      <c r="E61" s="220">
        <f>Comparativo!AY16</f>
        <v>509.58</v>
      </c>
      <c r="F61" s="219">
        <f>Comparativo!AZ16</f>
        <v>18</v>
      </c>
      <c r="G61" s="229">
        <f>ABR!$G$41</f>
        <v>201.99</v>
      </c>
      <c r="H61" s="209">
        <f>ABR!$H$50</f>
        <v>8</v>
      </c>
      <c r="I61" s="100"/>
      <c r="J61" s="100"/>
      <c r="K61" s="100"/>
    </row>
    <row r="62" spans="1:11">
      <c r="A62" s="100"/>
      <c r="B62" s="100"/>
      <c r="C62" s="100"/>
      <c r="D62" s="190" t="s">
        <v>46</v>
      </c>
      <c r="E62" s="220">
        <f>Comparativo!AY17</f>
        <v>38.22</v>
      </c>
      <c r="F62" s="219">
        <f>Comparativo!AZ17</f>
        <v>2</v>
      </c>
      <c r="G62" s="249">
        <f>MAY!$G$44</f>
        <v>60.9</v>
      </c>
      <c r="H62" s="221">
        <f>MAY!$H$52</f>
        <v>2</v>
      </c>
      <c r="I62" s="100"/>
      <c r="J62" s="100"/>
      <c r="K62" s="100"/>
    </row>
    <row r="63" spans="1:11">
      <c r="A63" s="100"/>
      <c r="B63" s="100"/>
      <c r="C63" s="100"/>
      <c r="D63" s="197" t="s">
        <v>48</v>
      </c>
      <c r="E63" s="220">
        <f>Comparativo!AY18</f>
        <v>136.56</v>
      </c>
      <c r="F63" s="219">
        <f>Comparativo!AZ18</f>
        <v>2</v>
      </c>
      <c r="G63" s="249">
        <f>JUN!$G$33</f>
        <v>0</v>
      </c>
      <c r="H63" s="221">
        <f>JUN!$H$42</f>
        <v>0</v>
      </c>
      <c r="I63" s="100"/>
      <c r="J63" s="100"/>
      <c r="K63" s="100"/>
    </row>
    <row r="64" spans="1:11">
      <c r="A64" s="100"/>
      <c r="B64" s="100"/>
      <c r="C64" s="100"/>
      <c r="D64" s="197" t="s">
        <v>57</v>
      </c>
      <c r="E64" s="220">
        <f>Comparativo!AY20</f>
        <v>380.88</v>
      </c>
      <c r="F64" s="219">
        <f>Comparativo!AZ20</f>
        <v>6</v>
      </c>
      <c r="G64" s="249">
        <f>JUL!$G$33</f>
        <v>0</v>
      </c>
      <c r="H64" s="221">
        <f>JUL!$H$42</f>
        <v>0</v>
      </c>
      <c r="I64" s="100"/>
      <c r="J64" s="100"/>
      <c r="K64" s="100"/>
    </row>
    <row r="65" spans="1:11">
      <c r="A65" s="100"/>
      <c r="B65" s="100"/>
      <c r="C65" s="100"/>
      <c r="D65" s="193" t="s">
        <v>62</v>
      </c>
      <c r="E65" s="222">
        <f>Comparativo!AY21</f>
        <v>807.75</v>
      </c>
      <c r="F65" s="223">
        <f>Comparativo!AZ21</f>
        <v>21</v>
      </c>
      <c r="G65" s="230">
        <f>G36</f>
        <v>132.38999999999999</v>
      </c>
      <c r="H65" s="225">
        <f>H47</f>
        <v>4</v>
      </c>
      <c r="I65" s="100"/>
      <c r="J65" s="100"/>
      <c r="K65" s="100"/>
    </row>
    <row r="66" spans="1:1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</row>
    <row r="67" spans="1:11">
      <c r="A67" s="100"/>
      <c r="B67" s="100"/>
      <c r="C67" s="100"/>
      <c r="D67" s="100"/>
      <c r="E67" s="179">
        <f>SUM(E58:E65)</f>
        <v>3411.5699999999997</v>
      </c>
      <c r="F67" s="180">
        <f>SUM(F58:F66)</f>
        <v>98</v>
      </c>
      <c r="G67" s="179">
        <f>SUM(G58:G65)</f>
        <v>1066.02</v>
      </c>
      <c r="H67" s="180">
        <f>SUM(H58:H65)</f>
        <v>35</v>
      </c>
      <c r="I67" s="100"/>
      <c r="J67" s="100"/>
      <c r="K67" s="100"/>
    </row>
    <row r="68" spans="1:11">
      <c r="A68" s="100"/>
      <c r="B68" s="100"/>
      <c r="C68" s="100"/>
      <c r="D68" s="100"/>
      <c r="E68" s="100"/>
      <c r="F68" s="100"/>
      <c r="G68" s="100"/>
      <c r="H68" s="100"/>
      <c r="I68" s="100"/>
      <c r="J68" s="100"/>
    </row>
    <row r="69" spans="1:11">
      <c r="A69" s="100"/>
      <c r="B69" s="100"/>
      <c r="C69" s="100"/>
      <c r="D69" s="100"/>
      <c r="E69" s="100"/>
      <c r="F69" s="100"/>
      <c r="G69" s="100"/>
      <c r="H69" s="100"/>
      <c r="I69" s="100"/>
      <c r="J69" s="100"/>
    </row>
    <row r="70" spans="1:11">
      <c r="A70" s="100"/>
      <c r="B70" s="100"/>
      <c r="C70" s="100"/>
      <c r="D70" s="100"/>
      <c r="E70" s="100"/>
      <c r="F70" s="100"/>
      <c r="G70" s="100"/>
      <c r="H70" s="100"/>
      <c r="I70" s="100"/>
      <c r="J70" s="100"/>
    </row>
    <row r="71" spans="1:11">
      <c r="A71" s="100"/>
      <c r="B71" s="100"/>
      <c r="C71" s="100"/>
      <c r="D71" s="100"/>
      <c r="E71" s="100"/>
      <c r="F71" s="100"/>
      <c r="G71" s="100"/>
      <c r="H71" s="100"/>
      <c r="I71" s="100"/>
      <c r="J71" s="100"/>
    </row>
    <row r="72" spans="1:11">
      <c r="A72" s="100"/>
      <c r="B72" s="100"/>
      <c r="C72" s="100"/>
      <c r="D72" s="100"/>
      <c r="E72" s="100"/>
      <c r="F72" s="100"/>
      <c r="G72" s="100"/>
      <c r="H72" s="100"/>
      <c r="I72" s="100"/>
      <c r="J72" s="100"/>
    </row>
    <row r="73" spans="1:11">
      <c r="A73" s="100"/>
      <c r="B73" s="100"/>
      <c r="C73" s="100"/>
      <c r="D73" s="100"/>
      <c r="E73" s="100"/>
      <c r="F73" s="100"/>
      <c r="G73" s="100"/>
      <c r="H73" s="100"/>
      <c r="I73" s="100"/>
      <c r="J73" s="100"/>
    </row>
    <row r="74" spans="1:11">
      <c r="A74" s="100"/>
      <c r="B74" s="100"/>
      <c r="C74" s="100"/>
      <c r="D74" s="100"/>
      <c r="E74" s="100"/>
      <c r="F74" s="100"/>
      <c r="G74" s="100"/>
      <c r="H74" s="100"/>
      <c r="I74" s="100"/>
      <c r="J74" s="100"/>
    </row>
    <row r="75" spans="1:11">
      <c r="A75" s="100"/>
      <c r="B75" s="100"/>
      <c r="C75" s="100"/>
      <c r="D75" s="100"/>
      <c r="E75" s="100"/>
      <c r="F75" s="100"/>
      <c r="G75" s="100"/>
      <c r="H75" s="100"/>
      <c r="I75" s="100"/>
      <c r="J75" s="100"/>
    </row>
    <row r="76" spans="1:11">
      <c r="A76" s="100"/>
      <c r="B76" s="100"/>
      <c r="C76" s="100"/>
      <c r="D76" s="100"/>
      <c r="E76" s="100"/>
      <c r="F76" s="100"/>
      <c r="G76" s="100"/>
      <c r="H76" s="100"/>
      <c r="I76" s="100"/>
      <c r="J76" s="100"/>
    </row>
    <row r="77" spans="1:11">
      <c r="A77" s="100"/>
      <c r="B77" s="100"/>
      <c r="C77" s="100"/>
      <c r="D77" s="100"/>
      <c r="E77" s="100"/>
      <c r="F77" s="100"/>
      <c r="G77" s="100"/>
      <c r="H77" s="100"/>
      <c r="I77" s="100"/>
      <c r="J77" s="100"/>
    </row>
    <row r="78" spans="1:11">
      <c r="A78" s="100"/>
      <c r="B78" s="100"/>
      <c r="C78" s="100"/>
      <c r="D78" s="100"/>
      <c r="E78" s="100"/>
      <c r="F78" s="100"/>
      <c r="G78" s="100"/>
      <c r="H78" s="100"/>
      <c r="I78" s="100"/>
      <c r="J78" s="100"/>
    </row>
    <row r="79" spans="1:11">
      <c r="A79" s="100"/>
      <c r="B79" s="100"/>
      <c r="C79" s="100"/>
      <c r="D79" s="100"/>
      <c r="E79" s="100"/>
      <c r="F79" s="100"/>
      <c r="G79" s="100"/>
      <c r="H79" s="100"/>
      <c r="I79" s="100"/>
      <c r="J79" s="100"/>
    </row>
    <row r="80" spans="1:11">
      <c r="A80" s="100"/>
      <c r="B80" s="100"/>
      <c r="C80" s="100"/>
      <c r="D80" s="100"/>
      <c r="E80" s="100"/>
      <c r="F80" s="100"/>
      <c r="G80" s="100"/>
      <c r="H80" s="100"/>
      <c r="I80" s="100"/>
      <c r="J80" s="100"/>
    </row>
    <row r="81" spans="1:10">
      <c r="A81" s="100"/>
      <c r="B81" s="100"/>
      <c r="C81" s="100"/>
      <c r="D81" s="100"/>
      <c r="E81" s="100"/>
      <c r="F81" s="100"/>
      <c r="G81" s="100"/>
      <c r="H81" s="100"/>
      <c r="I81" s="100"/>
      <c r="J81" s="100"/>
    </row>
  </sheetData>
  <mergeCells count="87">
    <mergeCell ref="H30:J30"/>
    <mergeCell ref="H31:J31"/>
    <mergeCell ref="H32:J32"/>
    <mergeCell ref="E39:F39"/>
    <mergeCell ref="D33:E33"/>
    <mergeCell ref="F33:G33"/>
    <mergeCell ref="H33:J33"/>
    <mergeCell ref="C38:D38"/>
    <mergeCell ref="H28:J28"/>
    <mergeCell ref="H29:J29"/>
    <mergeCell ref="H22:J22"/>
    <mergeCell ref="H23:J23"/>
    <mergeCell ref="H24:J24"/>
    <mergeCell ref="H27:J27"/>
    <mergeCell ref="H20:J20"/>
    <mergeCell ref="H21:J21"/>
    <mergeCell ref="F24:G24"/>
    <mergeCell ref="D25:E25"/>
    <mergeCell ref="F25:G25"/>
    <mergeCell ref="H25:J25"/>
    <mergeCell ref="D24:E24"/>
    <mergeCell ref="E56:F56"/>
    <mergeCell ref="G56:H56"/>
    <mergeCell ref="C39:D39"/>
    <mergeCell ref="E41:F41"/>
    <mergeCell ref="E47:F47"/>
    <mergeCell ref="C49:E49"/>
    <mergeCell ref="F49:G49"/>
    <mergeCell ref="C50:E50"/>
    <mergeCell ref="C51:E51"/>
    <mergeCell ref="F52:G52"/>
    <mergeCell ref="C43:D43"/>
    <mergeCell ref="E43:F43"/>
    <mergeCell ref="E54:H54"/>
    <mergeCell ref="C41:D41"/>
    <mergeCell ref="C40:D40"/>
    <mergeCell ref="E40:F40"/>
    <mergeCell ref="D10:E10"/>
    <mergeCell ref="F10:G10"/>
    <mergeCell ref="H10:J10"/>
    <mergeCell ref="D11:E11"/>
    <mergeCell ref="F12:G12"/>
    <mergeCell ref="E7:H7"/>
    <mergeCell ref="F26:G26"/>
    <mergeCell ref="H26:J26"/>
    <mergeCell ref="F23:G23"/>
    <mergeCell ref="D22:E22"/>
    <mergeCell ref="D23:E23"/>
    <mergeCell ref="D18:E18"/>
    <mergeCell ref="F18:G18"/>
    <mergeCell ref="D20:E20"/>
    <mergeCell ref="D21:E21"/>
    <mergeCell ref="F20:G20"/>
    <mergeCell ref="F21:G21"/>
    <mergeCell ref="F22:G22"/>
    <mergeCell ref="F14:G14"/>
    <mergeCell ref="D26:E26"/>
    <mergeCell ref="D14:E14"/>
    <mergeCell ref="H15:J15"/>
    <mergeCell ref="F11:G11"/>
    <mergeCell ref="D12:E12"/>
    <mergeCell ref="D19:E19"/>
    <mergeCell ref="F19:G19"/>
    <mergeCell ref="D13:E13"/>
    <mergeCell ref="H19:J19"/>
    <mergeCell ref="D16:E16"/>
    <mergeCell ref="F16:G16"/>
    <mergeCell ref="H16:J16"/>
    <mergeCell ref="D17:E17"/>
    <mergeCell ref="F17:G17"/>
    <mergeCell ref="H17:J17"/>
    <mergeCell ref="H18:J18"/>
    <mergeCell ref="C46:D46"/>
    <mergeCell ref="E46:F46"/>
    <mergeCell ref="F13:G13"/>
    <mergeCell ref="D27:E27"/>
    <mergeCell ref="F27:G27"/>
    <mergeCell ref="F34:G34"/>
    <mergeCell ref="E38:F38"/>
    <mergeCell ref="D36:E36"/>
    <mergeCell ref="F28:G28"/>
    <mergeCell ref="F29:G29"/>
    <mergeCell ref="F30:G30"/>
    <mergeCell ref="F31:G31"/>
    <mergeCell ref="F32:G32"/>
    <mergeCell ref="D15:E15"/>
    <mergeCell ref="F15:G15"/>
  </mergeCells>
  <phoneticPr fontId="0" type="noConversion"/>
  <pageMargins left="0.59055118110236227" right="0.75" top="1" bottom="1" header="0" footer="0"/>
  <pageSetup paperSize="9" scale="68" orientation="portrait" r:id="rId1"/>
  <headerFooter alignWithMargins="0"/>
  <ignoredErrors>
    <ignoredError sqref="F67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5"/>
  <sheetViews>
    <sheetView showGridLines="0" zoomScaleNormal="100" workbookViewId="0">
      <selection activeCell="H11" sqref="H11:H13"/>
    </sheetView>
  </sheetViews>
  <sheetFormatPr defaultColWidth="9.140625" defaultRowHeight="12"/>
  <cols>
    <col min="1" max="2" width="4.28515625" style="199" customWidth="1"/>
    <col min="3" max="10" width="12.42578125" style="199" customWidth="1"/>
    <col min="11" max="256" width="11.42578125" style="199" customWidth="1"/>
    <col min="257" max="16384" width="9.140625" style="199"/>
  </cols>
  <sheetData>
    <row r="1" spans="1:11">
      <c r="A1" s="100"/>
      <c r="B1" s="100"/>
      <c r="C1" s="152"/>
      <c r="D1" s="152"/>
      <c r="E1" s="152"/>
      <c r="F1" s="152"/>
      <c r="G1" s="152"/>
      <c r="H1" s="152"/>
      <c r="I1" s="152"/>
      <c r="J1" s="152"/>
      <c r="K1" s="100"/>
    </row>
    <row r="2" spans="1:11">
      <c r="A2" s="153"/>
      <c r="B2" s="153"/>
      <c r="C2" s="100"/>
      <c r="D2" s="100"/>
      <c r="E2" s="100"/>
      <c r="F2" s="100"/>
      <c r="G2" s="100"/>
      <c r="H2" s="100"/>
      <c r="I2" s="100"/>
      <c r="J2" s="100"/>
      <c r="K2" s="100"/>
    </row>
    <row r="3" spans="1:11">
      <c r="A3" s="153"/>
      <c r="B3" s="153"/>
      <c r="C3" s="100"/>
      <c r="D3" s="100"/>
      <c r="E3" s="100"/>
      <c r="F3" s="100"/>
      <c r="G3" s="100"/>
      <c r="H3" s="100"/>
      <c r="I3" s="100"/>
      <c r="J3" s="100"/>
      <c r="K3" s="100"/>
    </row>
    <row r="4" spans="1:11">
      <c r="A4" s="210"/>
      <c r="B4" s="210"/>
      <c r="C4" s="100"/>
      <c r="D4" s="100"/>
      <c r="E4" s="100"/>
      <c r="F4" s="100"/>
      <c r="G4" s="100"/>
      <c r="H4" s="100"/>
      <c r="I4" s="100"/>
      <c r="J4" s="100"/>
      <c r="K4" s="100"/>
    </row>
    <row r="5" spans="1:11">
      <c r="A5" s="153"/>
      <c r="B5" s="153"/>
      <c r="C5" s="100"/>
      <c r="D5" s="100"/>
      <c r="E5" s="100"/>
      <c r="F5" s="100"/>
      <c r="G5" s="100"/>
      <c r="H5" s="100"/>
      <c r="I5" s="100"/>
      <c r="J5" s="100"/>
      <c r="K5" s="100"/>
    </row>
    <row r="6" spans="1:11">
      <c r="A6" s="210"/>
      <c r="B6" s="210"/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8.75">
      <c r="A7" s="210"/>
      <c r="B7" s="210"/>
      <c r="C7" s="100"/>
      <c r="D7" s="100"/>
      <c r="E7" s="272" t="s">
        <v>1</v>
      </c>
      <c r="F7" s="272"/>
      <c r="G7" s="272"/>
      <c r="H7" s="272"/>
      <c r="I7" s="186" t="s">
        <v>63</v>
      </c>
      <c r="J7" s="187">
        <f>CARÁT!$F$16</f>
        <v>2023</v>
      </c>
      <c r="K7" s="100"/>
    </row>
    <row r="8" spans="1:11">
      <c r="A8" s="210"/>
      <c r="B8" s="210"/>
      <c r="C8" s="100"/>
      <c r="D8" s="100"/>
      <c r="E8" s="100"/>
      <c r="F8" s="100"/>
      <c r="G8" s="100"/>
      <c r="H8" s="100"/>
      <c r="I8" s="100"/>
      <c r="J8" s="100"/>
      <c r="K8" s="100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100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100"/>
    </row>
    <row r="11" spans="1:11">
      <c r="A11" s="153"/>
      <c r="B11" s="153">
        <v>53</v>
      </c>
      <c r="C11" s="156">
        <v>45180</v>
      </c>
      <c r="D11" s="326" t="s">
        <v>40</v>
      </c>
      <c r="E11" s="326"/>
      <c r="F11" s="275">
        <v>39360</v>
      </c>
      <c r="G11" s="275"/>
      <c r="H11" s="157" t="s">
        <v>9</v>
      </c>
      <c r="I11" s="157"/>
      <c r="J11" s="157"/>
      <c r="K11" s="100"/>
    </row>
    <row r="12" spans="1:11">
      <c r="A12" s="153"/>
      <c r="B12" s="153">
        <v>54</v>
      </c>
      <c r="C12" s="156">
        <v>45183</v>
      </c>
      <c r="D12" s="327" t="s">
        <v>42</v>
      </c>
      <c r="E12" s="327"/>
      <c r="F12" s="275">
        <v>54000</v>
      </c>
      <c r="G12" s="275"/>
      <c r="H12" s="157" t="s">
        <v>9</v>
      </c>
      <c r="I12" s="157"/>
      <c r="J12" s="157"/>
      <c r="K12" s="100"/>
    </row>
    <row r="13" spans="1:11">
      <c r="A13" s="153"/>
      <c r="B13" s="153">
        <v>55</v>
      </c>
      <c r="C13" s="156">
        <v>45184</v>
      </c>
      <c r="D13" s="327" t="s">
        <v>36</v>
      </c>
      <c r="E13" s="327"/>
      <c r="F13" s="275">
        <v>49230</v>
      </c>
      <c r="G13" s="275"/>
      <c r="H13" s="157" t="s">
        <v>9</v>
      </c>
      <c r="I13" s="157"/>
      <c r="J13" s="157"/>
      <c r="K13" s="100"/>
    </row>
    <row r="14" spans="1:11">
      <c r="A14" s="153"/>
      <c r="B14" s="153"/>
      <c r="C14" s="156"/>
      <c r="D14" s="327"/>
      <c r="E14" s="327"/>
      <c r="F14" s="275"/>
      <c r="G14" s="275"/>
      <c r="H14" s="157"/>
      <c r="I14" s="157"/>
      <c r="J14" s="157"/>
      <c r="K14" s="100"/>
    </row>
    <row r="15" spans="1:11">
      <c r="A15" s="153"/>
      <c r="B15" s="153"/>
      <c r="C15" s="156"/>
      <c r="D15" s="327"/>
      <c r="E15" s="327"/>
      <c r="F15" s="274"/>
      <c r="G15" s="274"/>
      <c r="H15" s="157"/>
      <c r="I15" s="157"/>
      <c r="J15" s="157"/>
      <c r="K15" s="100"/>
    </row>
    <row r="16" spans="1:11">
      <c r="A16" s="153"/>
      <c r="B16" s="181"/>
      <c r="C16" s="156"/>
      <c r="D16" s="327"/>
      <c r="E16" s="327"/>
      <c r="F16" s="274"/>
      <c r="G16" s="274"/>
      <c r="H16" s="157"/>
      <c r="I16" s="157"/>
      <c r="J16" s="157"/>
      <c r="K16" s="100"/>
    </row>
    <row r="17" spans="1:11">
      <c r="A17" s="153"/>
      <c r="B17" s="153"/>
      <c r="C17" s="156"/>
      <c r="D17" s="327"/>
      <c r="E17" s="327"/>
      <c r="F17" s="274"/>
      <c r="G17" s="274"/>
      <c r="H17" s="157"/>
      <c r="I17" s="157"/>
      <c r="J17" s="157"/>
      <c r="K17" s="100"/>
    </row>
    <row r="18" spans="1:11">
      <c r="A18" s="153"/>
      <c r="B18" s="153"/>
      <c r="C18" s="156"/>
      <c r="D18" s="327"/>
      <c r="E18" s="327"/>
      <c r="F18" s="274"/>
      <c r="G18" s="274"/>
      <c r="H18" s="273"/>
      <c r="I18" s="273"/>
      <c r="J18" s="273"/>
      <c r="K18" s="100"/>
    </row>
    <row r="19" spans="1:11">
      <c r="A19" s="153"/>
      <c r="B19" s="153"/>
      <c r="C19" s="156"/>
      <c r="D19" s="327"/>
      <c r="E19" s="327"/>
      <c r="F19" s="274"/>
      <c r="G19" s="274"/>
      <c r="H19" s="273"/>
      <c r="I19" s="273"/>
      <c r="J19" s="273"/>
      <c r="K19" s="100"/>
    </row>
    <row r="20" spans="1:11">
      <c r="A20" s="153"/>
      <c r="B20" s="153"/>
      <c r="C20" s="156"/>
      <c r="D20" s="327"/>
      <c r="E20" s="327"/>
      <c r="F20" s="274"/>
      <c r="G20" s="274"/>
      <c r="H20" s="273"/>
      <c r="I20" s="273"/>
      <c r="J20" s="273"/>
      <c r="K20" s="100"/>
    </row>
    <row r="21" spans="1:11">
      <c r="A21" s="153"/>
      <c r="B21" s="153"/>
      <c r="C21" s="156"/>
      <c r="D21" s="327"/>
      <c r="E21" s="327"/>
      <c r="F21" s="274"/>
      <c r="G21" s="274"/>
      <c r="H21" s="273"/>
      <c r="I21" s="273"/>
      <c r="J21" s="273"/>
      <c r="K21" s="100"/>
    </row>
    <row r="22" spans="1:11">
      <c r="A22" s="153"/>
      <c r="B22" s="153"/>
      <c r="C22" s="156"/>
      <c r="D22" s="327"/>
      <c r="E22" s="327"/>
      <c r="F22" s="274"/>
      <c r="G22" s="274"/>
      <c r="H22" s="273"/>
      <c r="I22" s="273"/>
      <c r="J22" s="273"/>
      <c r="K22" s="100"/>
    </row>
    <row r="23" spans="1:11">
      <c r="A23" s="153"/>
      <c r="B23" s="153"/>
      <c r="C23" s="156"/>
      <c r="D23" s="327"/>
      <c r="E23" s="327"/>
      <c r="F23" s="274"/>
      <c r="G23" s="274"/>
      <c r="H23" s="273"/>
      <c r="I23" s="273"/>
      <c r="J23" s="273"/>
      <c r="K23" s="100"/>
    </row>
    <row r="24" spans="1:11">
      <c r="A24" s="153"/>
      <c r="B24" s="153"/>
      <c r="C24" s="156"/>
      <c r="D24" s="327"/>
      <c r="E24" s="327"/>
      <c r="F24" s="274"/>
      <c r="G24" s="274"/>
      <c r="H24" s="273"/>
      <c r="I24" s="273"/>
      <c r="J24" s="273"/>
      <c r="K24" s="100"/>
    </row>
    <row r="25" spans="1:11">
      <c r="A25" s="153"/>
      <c r="B25" s="153"/>
      <c r="C25" s="156"/>
      <c r="D25" s="327"/>
      <c r="E25" s="327"/>
      <c r="F25" s="274"/>
      <c r="G25" s="274"/>
      <c r="H25" s="273"/>
      <c r="I25" s="273"/>
      <c r="J25" s="273"/>
      <c r="K25" s="100"/>
    </row>
    <row r="26" spans="1:11">
      <c r="A26" s="153"/>
      <c r="B26" s="153"/>
      <c r="C26" s="156"/>
      <c r="D26" s="327"/>
      <c r="E26" s="327"/>
      <c r="F26" s="274"/>
      <c r="G26" s="274"/>
      <c r="H26" s="273"/>
      <c r="I26" s="273"/>
      <c r="J26" s="273"/>
      <c r="K26" s="100"/>
    </row>
    <row r="27" spans="1:11">
      <c r="A27" s="153"/>
      <c r="B27" s="153"/>
      <c r="C27" s="156"/>
      <c r="D27" s="327"/>
      <c r="E27" s="327"/>
      <c r="F27" s="274"/>
      <c r="G27" s="274"/>
      <c r="H27" s="273"/>
      <c r="I27" s="273"/>
      <c r="J27" s="273"/>
      <c r="K27" s="100"/>
    </row>
    <row r="28" spans="1:11">
      <c r="A28" s="153"/>
      <c r="B28" s="153"/>
      <c r="C28" s="156"/>
      <c r="D28" s="327"/>
      <c r="E28" s="327"/>
      <c r="F28" s="274"/>
      <c r="G28" s="274"/>
      <c r="H28" s="273"/>
      <c r="I28" s="273"/>
      <c r="J28" s="273"/>
      <c r="K28" s="100"/>
    </row>
    <row r="29" spans="1:11">
      <c r="A29" s="153"/>
      <c r="B29" s="153"/>
      <c r="C29" s="156"/>
      <c r="D29" s="327"/>
      <c r="E29" s="327"/>
      <c r="F29" s="274"/>
      <c r="G29" s="274"/>
      <c r="H29" s="273"/>
      <c r="I29" s="273"/>
      <c r="J29" s="273"/>
      <c r="K29" s="100"/>
    </row>
    <row r="30" spans="1:11">
      <c r="A30" s="153"/>
      <c r="B30" s="153"/>
      <c r="C30" s="156"/>
      <c r="D30" s="327"/>
      <c r="E30" s="327"/>
      <c r="F30" s="274"/>
      <c r="G30" s="274"/>
      <c r="H30" s="273"/>
      <c r="I30" s="273"/>
      <c r="J30" s="273"/>
      <c r="K30" s="100"/>
    </row>
    <row r="31" spans="1:11">
      <c r="A31" s="153"/>
      <c r="B31" s="153"/>
      <c r="C31" s="156"/>
      <c r="D31" s="327"/>
      <c r="E31" s="327"/>
      <c r="F31" s="274"/>
      <c r="G31" s="274"/>
      <c r="H31" s="308"/>
      <c r="I31" s="308"/>
      <c r="J31" s="308"/>
      <c r="K31" s="100"/>
    </row>
    <row r="32" spans="1:11">
      <c r="A32" s="153"/>
      <c r="B32" s="153"/>
      <c r="C32" s="156"/>
      <c r="D32" s="327"/>
      <c r="E32" s="327"/>
      <c r="F32" s="274"/>
      <c r="G32" s="274"/>
      <c r="H32" s="308"/>
      <c r="I32" s="308"/>
      <c r="J32" s="308"/>
      <c r="K32" s="100"/>
    </row>
    <row r="33" spans="1:11">
      <c r="A33" s="153"/>
      <c r="B33" s="153"/>
      <c r="C33" s="156"/>
      <c r="D33" s="327"/>
      <c r="E33" s="327"/>
      <c r="F33" s="274"/>
      <c r="G33" s="274"/>
      <c r="H33" s="308"/>
      <c r="I33" s="308"/>
      <c r="J33" s="308"/>
      <c r="K33" s="100"/>
    </row>
    <row r="34" spans="1:11">
      <c r="A34" s="153"/>
      <c r="B34" s="153"/>
      <c r="C34" s="156"/>
      <c r="D34" s="327"/>
      <c r="E34" s="327"/>
      <c r="F34" s="274"/>
      <c r="G34" s="274"/>
      <c r="H34" s="308"/>
      <c r="I34" s="308"/>
      <c r="J34" s="308"/>
      <c r="K34" s="100"/>
    </row>
    <row r="35" spans="1:11">
      <c r="A35" s="153"/>
      <c r="B35" s="153"/>
      <c r="C35" s="156"/>
      <c r="D35" s="308"/>
      <c r="E35" s="308"/>
      <c r="F35" s="274"/>
      <c r="G35" s="274"/>
      <c r="H35" s="308"/>
      <c r="I35" s="308"/>
      <c r="J35" s="308"/>
      <c r="K35" s="100"/>
    </row>
    <row r="36" spans="1:11">
      <c r="A36" s="153"/>
      <c r="B36" s="153"/>
      <c r="C36" s="156"/>
      <c r="D36" s="308"/>
      <c r="E36" s="308"/>
      <c r="F36" s="274"/>
      <c r="G36" s="274"/>
      <c r="H36" s="308"/>
      <c r="I36" s="308"/>
      <c r="J36" s="308"/>
      <c r="K36" s="100"/>
    </row>
    <row r="37" spans="1:11">
      <c r="A37" s="153"/>
      <c r="B37" s="153"/>
      <c r="C37" s="156"/>
      <c r="D37" s="327"/>
      <c r="E37" s="327"/>
      <c r="F37" s="274"/>
      <c r="G37" s="274"/>
      <c r="H37" s="308"/>
      <c r="I37" s="308"/>
      <c r="J37" s="308"/>
      <c r="K37" s="100"/>
    </row>
    <row r="38" spans="1:11">
      <c r="A38" s="153"/>
      <c r="B38" s="153"/>
      <c r="C38" s="156"/>
      <c r="D38" s="308"/>
      <c r="E38" s="308"/>
      <c r="F38" s="274"/>
      <c r="G38" s="274"/>
      <c r="H38" s="308"/>
      <c r="I38" s="308"/>
      <c r="J38" s="308"/>
      <c r="K38" s="100"/>
    </row>
    <row r="39" spans="1:11">
      <c r="A39" s="153"/>
      <c r="B39" s="153"/>
      <c r="C39" s="156"/>
      <c r="D39" s="308"/>
      <c r="E39" s="308"/>
      <c r="F39" s="274"/>
      <c r="G39" s="274"/>
      <c r="H39" s="308"/>
      <c r="I39" s="308"/>
      <c r="J39" s="308"/>
      <c r="K39" s="100"/>
    </row>
    <row r="40" spans="1:11">
      <c r="A40" s="153"/>
      <c r="B40" s="153"/>
      <c r="C40" s="156"/>
      <c r="D40" s="308"/>
      <c r="E40" s="308"/>
      <c r="F40" s="288"/>
      <c r="G40" s="288"/>
      <c r="H40" s="308"/>
      <c r="I40" s="308"/>
      <c r="J40" s="308"/>
      <c r="K40" s="100"/>
    </row>
    <row r="41" spans="1:11">
      <c r="A41" s="153"/>
      <c r="B41" s="153"/>
      <c r="C41" s="159"/>
      <c r="D41" s="160"/>
      <c r="E41" s="160"/>
      <c r="F41" s="293">
        <f>SUM(F11:G40)</f>
        <v>142590</v>
      </c>
      <c r="G41" s="294"/>
      <c r="H41" s="95"/>
      <c r="I41" s="95"/>
      <c r="J41" s="95"/>
      <c r="K41" s="100"/>
    </row>
    <row r="42" spans="1:11">
      <c r="A42" s="153"/>
      <c r="B42" s="153"/>
      <c r="C42" s="100"/>
      <c r="D42" s="100"/>
      <c r="E42" s="161"/>
      <c r="F42" s="100"/>
      <c r="G42" s="100"/>
      <c r="H42" s="100"/>
      <c r="I42" s="100"/>
      <c r="J42" s="100"/>
      <c r="K42" s="100"/>
    </row>
    <row r="43" spans="1:11">
      <c r="A43" s="153"/>
      <c r="B43" s="153"/>
      <c r="C43" s="100"/>
      <c r="D43" s="289" t="s">
        <v>10</v>
      </c>
      <c r="E43" s="289"/>
      <c r="F43" s="100"/>
      <c r="G43" s="162">
        <f>F41/1000</f>
        <v>142.59</v>
      </c>
      <c r="H43" s="100"/>
      <c r="I43" s="100"/>
      <c r="J43" s="100"/>
      <c r="K43" s="100"/>
    </row>
    <row r="44" spans="1:11">
      <c r="A44" s="153"/>
      <c r="B44" s="153"/>
      <c r="C44" s="100"/>
      <c r="D44" s="100"/>
      <c r="E44" s="161"/>
      <c r="F44" s="100"/>
      <c r="G44" s="100"/>
      <c r="H44" s="100"/>
      <c r="I44" s="100"/>
      <c r="J44" s="100"/>
      <c r="K44" s="100"/>
    </row>
    <row r="45" spans="1:11">
      <c r="A45" s="153"/>
      <c r="B45" s="153"/>
      <c r="C45" s="100"/>
      <c r="D45" s="100"/>
      <c r="E45" s="161"/>
      <c r="F45" s="100"/>
      <c r="G45" s="100"/>
      <c r="H45" s="100"/>
      <c r="I45" s="100"/>
      <c r="J45" s="100"/>
      <c r="K45" s="100"/>
    </row>
    <row r="46" spans="1:11">
      <c r="A46" s="153"/>
      <c r="B46" s="153"/>
      <c r="C46" s="100"/>
      <c r="D46" s="100"/>
      <c r="E46" s="100"/>
      <c r="F46" s="100"/>
      <c r="G46" s="100"/>
      <c r="H46" s="100"/>
      <c r="I46" s="100"/>
      <c r="J46" s="100"/>
      <c r="K46" s="100"/>
    </row>
    <row r="47" spans="1:11">
      <c r="A47" s="153"/>
      <c r="B47" s="153"/>
      <c r="C47" s="287" t="s">
        <v>11</v>
      </c>
      <c r="D47" s="287"/>
      <c r="E47" s="287" t="s">
        <v>12</v>
      </c>
      <c r="F47" s="287"/>
      <c r="G47" s="154" t="s">
        <v>13</v>
      </c>
      <c r="H47" s="154" t="s">
        <v>14</v>
      </c>
      <c r="I47" s="100"/>
      <c r="J47" s="100"/>
      <c r="K47" s="100"/>
    </row>
    <row r="48" spans="1:11">
      <c r="A48" s="153"/>
      <c r="B48" s="153"/>
      <c r="C48" s="273" t="s">
        <v>64</v>
      </c>
      <c r="D48" s="273"/>
      <c r="E48" s="328">
        <f>F11</f>
        <v>39360</v>
      </c>
      <c r="F48" s="328"/>
      <c r="G48" s="163">
        <f>+E48/E53</f>
        <v>0.27603618767094468</v>
      </c>
      <c r="H48" s="164">
        <v>1</v>
      </c>
      <c r="I48" s="100"/>
      <c r="J48" s="100"/>
      <c r="K48" s="100"/>
    </row>
    <row r="49" spans="1:11">
      <c r="A49" s="153"/>
      <c r="B49" s="153"/>
      <c r="C49" s="273" t="s">
        <v>54</v>
      </c>
      <c r="D49" s="273"/>
      <c r="E49" s="328"/>
      <c r="F49" s="328"/>
      <c r="G49" s="163">
        <f>+E49/E53</f>
        <v>0</v>
      </c>
      <c r="H49" s="164"/>
      <c r="I49" s="100"/>
      <c r="J49" s="100"/>
      <c r="K49" s="100"/>
    </row>
    <row r="50" spans="1:11">
      <c r="A50" s="153"/>
      <c r="B50" s="153"/>
      <c r="C50" s="273" t="s">
        <v>65</v>
      </c>
      <c r="D50" s="273"/>
      <c r="E50" s="328"/>
      <c r="F50" s="328"/>
      <c r="G50" s="163">
        <f>+E50/E53</f>
        <v>0</v>
      </c>
      <c r="H50" s="164"/>
      <c r="I50" s="100"/>
      <c r="J50" s="100"/>
      <c r="K50" s="100"/>
    </row>
    <row r="51" spans="1:11">
      <c r="A51" s="153"/>
      <c r="B51" s="153"/>
      <c r="C51" s="273" t="s">
        <v>37</v>
      </c>
      <c r="D51" s="273"/>
      <c r="E51" s="328">
        <f>F12+F13</f>
        <v>103230</v>
      </c>
      <c r="F51" s="328"/>
      <c r="G51" s="163">
        <f>+E51/E53</f>
        <v>0.72396381232905538</v>
      </c>
      <c r="H51" s="164">
        <v>2</v>
      </c>
      <c r="I51" s="100"/>
      <c r="J51" s="100"/>
      <c r="K51" s="100"/>
    </row>
    <row r="52" spans="1:11">
      <c r="A52" s="153"/>
      <c r="B52" s="153"/>
      <c r="C52" s="273" t="s">
        <v>16</v>
      </c>
      <c r="D52" s="273"/>
      <c r="E52" s="274"/>
      <c r="F52" s="274"/>
      <c r="G52" s="163">
        <f>+E52/E53</f>
        <v>0</v>
      </c>
      <c r="H52" s="164"/>
      <c r="I52" s="100"/>
      <c r="J52" s="100"/>
      <c r="K52" s="100"/>
    </row>
    <row r="53" spans="1:11">
      <c r="A53" s="153"/>
      <c r="B53" s="153"/>
      <c r="C53" s="165"/>
      <c r="D53" s="166" t="s">
        <v>20</v>
      </c>
      <c r="E53" s="329">
        <f>SUM(E48:F52)</f>
        <v>142590</v>
      </c>
      <c r="F53" s="329"/>
      <c r="G53" s="167">
        <f>SUM(G48:G52)</f>
        <v>1</v>
      </c>
      <c r="H53" s="168">
        <f>SUM(H48:H52)</f>
        <v>3</v>
      </c>
      <c r="I53" s="100"/>
      <c r="J53" s="100"/>
      <c r="K53" s="100"/>
    </row>
    <row r="54" spans="1:11">
      <c r="A54" s="153"/>
      <c r="B54" s="153"/>
      <c r="C54" s="169"/>
      <c r="D54" s="169"/>
      <c r="E54" s="160"/>
      <c r="F54" s="160"/>
      <c r="G54" s="160"/>
      <c r="H54" s="100"/>
      <c r="I54" s="100"/>
      <c r="J54" s="100"/>
      <c r="K54" s="100"/>
    </row>
    <row r="55" spans="1:11">
      <c r="A55" s="153"/>
      <c r="B55" s="153"/>
      <c r="C55" s="100"/>
      <c r="D55" s="100"/>
      <c r="E55" s="96"/>
      <c r="F55" s="171"/>
      <c r="G55" s="172"/>
      <c r="H55" s="100"/>
      <c r="I55" s="100"/>
      <c r="J55" s="100"/>
      <c r="K55" s="100"/>
    </row>
    <row r="56" spans="1:11">
      <c r="A56" s="153"/>
      <c r="B56" s="153"/>
      <c r="C56" s="170"/>
      <c r="D56" s="100"/>
      <c r="E56" s="96"/>
      <c r="F56" s="171"/>
      <c r="G56" s="172"/>
      <c r="H56" s="100"/>
      <c r="I56" s="100"/>
      <c r="J56" s="100"/>
      <c r="K56" s="100"/>
    </row>
    <row r="57" spans="1:11">
      <c r="A57" s="153"/>
      <c r="B57" s="153"/>
      <c r="C57" s="283" t="s">
        <v>7</v>
      </c>
      <c r="D57" s="284"/>
      <c r="E57" s="285"/>
      <c r="F57" s="286" t="s">
        <v>6</v>
      </c>
      <c r="G57" s="287"/>
      <c r="H57" s="154" t="s">
        <v>13</v>
      </c>
      <c r="I57" s="100"/>
      <c r="J57" s="100"/>
      <c r="K57" s="100"/>
    </row>
    <row r="58" spans="1:11">
      <c r="A58" s="153"/>
      <c r="B58" s="153"/>
      <c r="C58" s="273" t="s">
        <v>21</v>
      </c>
      <c r="D58" s="273"/>
      <c r="E58" s="273"/>
      <c r="F58" s="158"/>
      <c r="G58" s="158"/>
      <c r="H58" s="163">
        <f>+G58/F60</f>
        <v>0</v>
      </c>
      <c r="I58" s="100"/>
      <c r="J58" s="100"/>
      <c r="K58" s="100"/>
    </row>
    <row r="59" spans="1:11">
      <c r="A59" s="153"/>
      <c r="B59" s="153"/>
      <c r="C59" s="273" t="s">
        <v>22</v>
      </c>
      <c r="D59" s="273"/>
      <c r="E59" s="273"/>
      <c r="F59" s="274">
        <f>F41</f>
        <v>142590</v>
      </c>
      <c r="G59" s="274"/>
      <c r="H59" s="163">
        <f>+F59/F60</f>
        <v>1</v>
      </c>
      <c r="I59" s="100"/>
      <c r="J59" s="100"/>
      <c r="K59" s="100"/>
    </row>
    <row r="60" spans="1:11">
      <c r="A60" s="153"/>
      <c r="B60" s="153"/>
      <c r="C60" s="100"/>
      <c r="D60" s="100" t="s">
        <v>20</v>
      </c>
      <c r="E60" s="100"/>
      <c r="F60" s="278">
        <f>SUM(F58:G59)</f>
        <v>142590</v>
      </c>
      <c r="G60" s="278"/>
      <c r="H60" s="167">
        <f>SUM(H58:H59)</f>
        <v>1</v>
      </c>
      <c r="I60" s="100"/>
      <c r="J60" s="100"/>
      <c r="K60" s="100"/>
    </row>
    <row r="61" spans="1:11">
      <c r="A61" s="153"/>
      <c r="B61" s="153"/>
      <c r="C61" s="100"/>
      <c r="D61" s="100"/>
      <c r="E61" s="100"/>
      <c r="F61" s="184"/>
      <c r="G61" s="184"/>
      <c r="H61" s="185"/>
      <c r="I61" s="100"/>
      <c r="J61" s="100"/>
      <c r="K61" s="100"/>
    </row>
    <row r="62" spans="1:11">
      <c r="A62" s="153"/>
      <c r="B62" s="153"/>
      <c r="C62" s="100"/>
      <c r="D62" s="100"/>
      <c r="E62" s="100"/>
      <c r="F62" s="184"/>
      <c r="G62" s="184"/>
      <c r="H62" s="185"/>
      <c r="I62" s="100"/>
      <c r="J62" s="100"/>
      <c r="K62" s="100"/>
    </row>
    <row r="63" spans="1:11">
      <c r="A63" s="153"/>
      <c r="B63" s="153"/>
      <c r="C63" s="100"/>
      <c r="D63" s="100"/>
      <c r="E63" s="100"/>
      <c r="F63" s="100"/>
      <c r="G63" s="100"/>
      <c r="H63" s="173"/>
      <c r="I63" s="100"/>
      <c r="J63" s="100"/>
      <c r="K63" s="100"/>
    </row>
    <row r="64" spans="1:11">
      <c r="A64" s="153"/>
      <c r="B64" s="153"/>
      <c r="C64" s="100"/>
      <c r="D64" s="100"/>
      <c r="E64" s="100"/>
      <c r="F64" s="100"/>
      <c r="G64" s="100"/>
      <c r="H64" s="100"/>
      <c r="I64" s="100"/>
      <c r="J64" s="100"/>
      <c r="K64" s="100"/>
    </row>
    <row r="65" spans="1:11">
      <c r="A65" s="153"/>
      <c r="B65" s="153"/>
      <c r="C65" s="100"/>
      <c r="D65" s="100"/>
      <c r="E65" s="100"/>
      <c r="F65" s="100"/>
      <c r="G65" s="100"/>
      <c r="H65" s="246"/>
      <c r="I65" s="100"/>
      <c r="J65" s="100"/>
      <c r="K65" s="100"/>
    </row>
    <row r="66" spans="1:11">
      <c r="A66" s="153"/>
      <c r="B66" s="153"/>
      <c r="C66" s="100"/>
      <c r="D66" s="96"/>
      <c r="E66" s="211"/>
      <c r="F66" s="100"/>
      <c r="G66" s="100"/>
      <c r="H66" s="100"/>
      <c r="I66" s="100"/>
      <c r="J66" s="100"/>
      <c r="K66" s="100"/>
    </row>
    <row r="67" spans="1:11">
      <c r="A67" s="153"/>
      <c r="B67" s="153"/>
      <c r="C67" s="100"/>
      <c r="D67" s="100"/>
      <c r="E67" s="279" t="s">
        <v>23</v>
      </c>
      <c r="F67" s="279"/>
      <c r="G67" s="279"/>
      <c r="H67" s="279"/>
      <c r="I67" s="100"/>
      <c r="J67" s="100"/>
      <c r="K67" s="100"/>
    </row>
    <row r="68" spans="1:11">
      <c r="A68" s="153"/>
      <c r="B68" s="153"/>
      <c r="C68" s="100"/>
      <c r="D68" s="212"/>
      <c r="E68" s="100"/>
      <c r="F68" s="100"/>
      <c r="G68" s="100"/>
      <c r="H68" s="100"/>
      <c r="I68" s="100"/>
      <c r="J68" s="100"/>
      <c r="K68" s="100"/>
    </row>
    <row r="69" spans="1:11">
      <c r="A69" s="100"/>
      <c r="B69" s="100"/>
      <c r="C69" s="100"/>
      <c r="D69" s="213" t="s">
        <v>24</v>
      </c>
      <c r="E69" s="297" t="s">
        <v>25</v>
      </c>
      <c r="F69" s="298"/>
      <c r="G69" s="297" t="s">
        <v>26</v>
      </c>
      <c r="H69" s="298"/>
      <c r="I69" s="100"/>
      <c r="J69" s="100"/>
      <c r="K69" s="100"/>
    </row>
    <row r="70" spans="1:11">
      <c r="A70" s="100"/>
      <c r="B70" s="100"/>
      <c r="C70" s="100"/>
      <c r="D70" s="214" t="s">
        <v>27</v>
      </c>
      <c r="E70" s="215" t="s">
        <v>28</v>
      </c>
      <c r="F70" s="215" t="s">
        <v>29</v>
      </c>
      <c r="G70" s="215" t="s">
        <v>28</v>
      </c>
      <c r="H70" s="215" t="s">
        <v>29</v>
      </c>
      <c r="I70" s="100"/>
      <c r="J70" s="100"/>
      <c r="K70" s="100"/>
    </row>
    <row r="71" spans="1:11">
      <c r="A71" s="100"/>
      <c r="B71" s="100"/>
      <c r="C71" s="100"/>
      <c r="D71" s="190" t="s">
        <v>30</v>
      </c>
      <c r="E71" s="198">
        <f>Comparativo!AY13</f>
        <v>559.32000000000005</v>
      </c>
      <c r="F71" s="206">
        <f>Comparativo!AZ13</f>
        <v>15</v>
      </c>
      <c r="G71" s="250">
        <f>ENE!$G$46</f>
        <v>123.39</v>
      </c>
      <c r="H71" s="207">
        <f>ENE!$H$55</f>
        <v>4</v>
      </c>
      <c r="I71" s="100"/>
      <c r="J71" s="100"/>
      <c r="K71" s="100"/>
    </row>
    <row r="72" spans="1:11">
      <c r="A72" s="100"/>
      <c r="B72" s="100"/>
      <c r="C72" s="100"/>
      <c r="D72" s="190" t="s">
        <v>34</v>
      </c>
      <c r="E72" s="220">
        <f>Comparativo!AY14</f>
        <v>437.76</v>
      </c>
      <c r="F72" s="219">
        <f>Comparativo!AZ14</f>
        <v>19</v>
      </c>
      <c r="G72" s="192">
        <f>FEB!$G$48</f>
        <v>176.79</v>
      </c>
      <c r="H72" s="191">
        <f>FEB!$H$57</f>
        <v>6</v>
      </c>
      <c r="I72" s="100"/>
      <c r="J72" s="100"/>
      <c r="K72" s="100"/>
    </row>
    <row r="73" spans="1:11">
      <c r="A73" s="100"/>
      <c r="B73" s="100"/>
      <c r="C73" s="100"/>
      <c r="D73" s="197" t="s">
        <v>38</v>
      </c>
      <c r="E73" s="220">
        <f>Comparativo!AY15</f>
        <v>541.5</v>
      </c>
      <c r="F73" s="219">
        <f>Comparativo!AZ15</f>
        <v>15</v>
      </c>
      <c r="G73" s="192">
        <f>MAR!$G$43</f>
        <v>370.56</v>
      </c>
      <c r="H73" s="191">
        <f>MAR!$H$51</f>
        <v>11</v>
      </c>
      <c r="I73" s="100"/>
      <c r="J73" s="100"/>
      <c r="K73" s="100"/>
    </row>
    <row r="74" spans="1:11">
      <c r="A74" s="100"/>
      <c r="B74" s="100"/>
      <c r="C74" s="100"/>
      <c r="D74" s="197" t="s">
        <v>44</v>
      </c>
      <c r="E74" s="220">
        <f>Comparativo!AY16</f>
        <v>509.58</v>
      </c>
      <c r="F74" s="219">
        <f>Comparativo!AZ16</f>
        <v>18</v>
      </c>
      <c r="G74" s="192">
        <f>ABR!$G$41</f>
        <v>201.99</v>
      </c>
      <c r="H74" s="191">
        <f>ABR!$H$50</f>
        <v>8</v>
      </c>
      <c r="I74" s="100"/>
      <c r="J74" s="100"/>
      <c r="K74" s="100"/>
    </row>
    <row r="75" spans="1:11">
      <c r="A75" s="100"/>
      <c r="B75" s="100"/>
      <c r="C75" s="100"/>
      <c r="D75" s="190" t="s">
        <v>46</v>
      </c>
      <c r="E75" s="220">
        <f>Comparativo!AY17</f>
        <v>38.22</v>
      </c>
      <c r="F75" s="219">
        <f>Comparativo!AZ17</f>
        <v>2</v>
      </c>
      <c r="G75" s="220">
        <f>MAY!$G$44</f>
        <v>60.9</v>
      </c>
      <c r="H75" s="219">
        <f>MAY!$H$52</f>
        <v>2</v>
      </c>
      <c r="I75" s="100"/>
      <c r="J75" s="100"/>
      <c r="K75" s="100"/>
    </row>
    <row r="76" spans="1:11">
      <c r="A76" s="100"/>
      <c r="B76" s="100"/>
      <c r="C76" s="100"/>
      <c r="D76" s="197" t="s">
        <v>48</v>
      </c>
      <c r="E76" s="220">
        <f>Comparativo!AY18</f>
        <v>136.56</v>
      </c>
      <c r="F76" s="219">
        <f>Comparativo!AZ18</f>
        <v>2</v>
      </c>
      <c r="G76" s="220">
        <f>JUN!$G$33</f>
        <v>0</v>
      </c>
      <c r="H76" s="219">
        <f>JUN!$H$42</f>
        <v>0</v>
      </c>
      <c r="I76" s="100"/>
      <c r="J76" s="100"/>
      <c r="K76" s="100"/>
    </row>
    <row r="77" spans="1:11">
      <c r="A77" s="100"/>
      <c r="B77" s="100"/>
      <c r="C77" s="100"/>
      <c r="D77" s="197" t="s">
        <v>57</v>
      </c>
      <c r="E77" s="220">
        <f>Comparativo!AY20</f>
        <v>380.88</v>
      </c>
      <c r="F77" s="219">
        <f>Comparativo!AZ20</f>
        <v>6</v>
      </c>
      <c r="G77" s="220">
        <f>JUL!$G$33</f>
        <v>0</v>
      </c>
      <c r="H77" s="219">
        <f>JUL!$H$42</f>
        <v>0</v>
      </c>
      <c r="I77" s="100"/>
      <c r="J77" s="100"/>
      <c r="K77" s="100"/>
    </row>
    <row r="78" spans="1:11">
      <c r="A78" s="100"/>
      <c r="B78" s="100"/>
      <c r="C78" s="100"/>
      <c r="D78" s="197" t="s">
        <v>62</v>
      </c>
      <c r="E78" s="220">
        <f>Comparativo!AY21</f>
        <v>807.75</v>
      </c>
      <c r="F78" s="219">
        <f>Comparativo!AZ21</f>
        <v>21</v>
      </c>
      <c r="G78" s="96">
        <f>AGO!$G$36</f>
        <v>132.38999999999999</v>
      </c>
      <c r="H78" s="219">
        <f>AGO!$H$47</f>
        <v>4</v>
      </c>
      <c r="I78" s="100"/>
      <c r="J78" s="100"/>
      <c r="K78" s="100"/>
    </row>
    <row r="79" spans="1:11">
      <c r="A79" s="100"/>
      <c r="B79" s="100"/>
      <c r="C79" s="100"/>
      <c r="D79" s="193" t="s">
        <v>66</v>
      </c>
      <c r="E79" s="222">
        <f>Comparativo!AY22</f>
        <v>60.66</v>
      </c>
      <c r="F79" s="223">
        <f>Comparativo!AZ22</f>
        <v>3</v>
      </c>
      <c r="G79" s="224">
        <f>G43</f>
        <v>142.59</v>
      </c>
      <c r="H79" s="223">
        <f>H53</f>
        <v>3</v>
      </c>
      <c r="I79" s="100"/>
      <c r="J79" s="100"/>
      <c r="K79" s="100"/>
    </row>
    <row r="80" spans="1:11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</row>
    <row r="81" spans="1:11">
      <c r="A81" s="100"/>
      <c r="B81" s="100"/>
      <c r="C81" s="100"/>
      <c r="D81" s="100"/>
      <c r="E81" s="179">
        <f>SUM(E71:E80)</f>
        <v>3472.2299999999996</v>
      </c>
      <c r="F81" s="180">
        <f>SUM(F71:F80)</f>
        <v>101</v>
      </c>
      <c r="G81" s="179">
        <f>SUM(G71:G79)</f>
        <v>1208.6099999999999</v>
      </c>
      <c r="H81" s="180">
        <f>SUM(H71:H79)</f>
        <v>38</v>
      </c>
      <c r="I81" s="100"/>
      <c r="J81" s="100"/>
      <c r="K81" s="100"/>
    </row>
    <row r="82" spans="1:11">
      <c r="A82" s="100"/>
      <c r="B82" s="100"/>
      <c r="C82" s="100"/>
      <c r="D82" s="100"/>
      <c r="E82" s="100"/>
      <c r="F82" s="100"/>
      <c r="G82" s="100"/>
      <c r="H82" s="100"/>
      <c r="I82" s="100"/>
      <c r="J82" s="100"/>
    </row>
    <row r="83" spans="1:11">
      <c r="A83" s="100"/>
      <c r="B83" s="100"/>
      <c r="C83" s="100"/>
      <c r="D83" s="100"/>
      <c r="E83" s="100"/>
      <c r="F83" s="100"/>
      <c r="G83" s="100"/>
      <c r="H83" s="100"/>
      <c r="I83" s="100"/>
      <c r="J83" s="100"/>
    </row>
    <row r="84" spans="1:11">
      <c r="A84" s="100"/>
      <c r="B84" s="100"/>
      <c r="C84" s="100"/>
      <c r="D84" s="100"/>
      <c r="E84" s="100"/>
      <c r="F84" s="100"/>
      <c r="G84" s="100"/>
      <c r="H84" s="100"/>
      <c r="I84" s="100"/>
      <c r="J84" s="100"/>
    </row>
    <row r="85" spans="1:11">
      <c r="A85" s="100"/>
      <c r="B85" s="100"/>
      <c r="C85" s="100"/>
      <c r="D85" s="100"/>
      <c r="E85" s="100"/>
      <c r="F85" s="100"/>
      <c r="G85" s="100"/>
      <c r="H85" s="100"/>
      <c r="I85" s="100"/>
      <c r="J85" s="100"/>
    </row>
    <row r="86" spans="1:11">
      <c r="A86" s="100"/>
      <c r="B86" s="100"/>
      <c r="C86" s="100"/>
      <c r="D86" s="100"/>
      <c r="E86" s="100"/>
      <c r="F86" s="100"/>
      <c r="G86" s="100"/>
      <c r="H86" s="100"/>
      <c r="I86" s="100"/>
      <c r="J86" s="100"/>
    </row>
    <row r="87" spans="1:11">
      <c r="A87" s="100"/>
      <c r="B87" s="100"/>
      <c r="C87" s="100"/>
      <c r="D87" s="100"/>
      <c r="E87" s="100"/>
      <c r="F87" s="100"/>
      <c r="G87" s="100"/>
      <c r="H87" s="100"/>
      <c r="I87" s="100"/>
      <c r="J87" s="100"/>
    </row>
    <row r="88" spans="1:11">
      <c r="A88" s="100"/>
      <c r="B88" s="100"/>
      <c r="C88" s="100"/>
      <c r="D88" s="100"/>
      <c r="E88" s="100"/>
      <c r="F88" s="100"/>
      <c r="G88" s="100"/>
      <c r="H88" s="100"/>
      <c r="I88" s="100"/>
      <c r="J88" s="100"/>
    </row>
    <row r="89" spans="1:11">
      <c r="A89" s="100"/>
      <c r="B89" s="100"/>
      <c r="C89" s="100"/>
      <c r="D89" s="100"/>
      <c r="E89" s="100"/>
      <c r="F89" s="100"/>
      <c r="G89" s="100"/>
      <c r="H89" s="100"/>
      <c r="I89" s="100"/>
      <c r="J89" s="100"/>
    </row>
    <row r="90" spans="1:11">
      <c r="A90" s="100"/>
      <c r="B90" s="100"/>
      <c r="C90" s="100"/>
      <c r="D90" s="100"/>
      <c r="E90" s="100"/>
      <c r="F90" s="100"/>
      <c r="G90" s="100"/>
      <c r="H90" s="100"/>
      <c r="I90" s="100"/>
      <c r="J90" s="100"/>
    </row>
    <row r="91" spans="1:11">
      <c r="A91" s="100"/>
      <c r="B91" s="100"/>
      <c r="C91" s="100"/>
      <c r="D91" s="100"/>
      <c r="E91" s="100"/>
      <c r="F91" s="100"/>
      <c r="G91" s="100"/>
      <c r="H91" s="100"/>
      <c r="I91" s="100"/>
      <c r="J91" s="100"/>
    </row>
    <row r="92" spans="1:11">
      <c r="A92" s="100"/>
      <c r="B92" s="100"/>
      <c r="C92" s="100"/>
      <c r="D92" s="100"/>
      <c r="E92" s="100"/>
      <c r="F92" s="100"/>
      <c r="G92" s="100"/>
      <c r="H92" s="100"/>
      <c r="I92" s="100"/>
      <c r="J92" s="100"/>
    </row>
    <row r="93" spans="1:11">
      <c r="A93" s="100"/>
      <c r="B93" s="100"/>
      <c r="C93" s="100"/>
      <c r="D93" s="100"/>
      <c r="E93" s="100"/>
      <c r="F93" s="100"/>
      <c r="G93" s="100"/>
      <c r="H93" s="100"/>
      <c r="I93" s="100"/>
      <c r="J93" s="100"/>
    </row>
    <row r="94" spans="1:11">
      <c r="A94" s="100"/>
      <c r="B94" s="100"/>
      <c r="C94" s="100"/>
      <c r="D94" s="100"/>
      <c r="E94" s="100"/>
      <c r="F94" s="100"/>
      <c r="G94" s="100"/>
      <c r="H94" s="100"/>
      <c r="I94" s="100"/>
      <c r="J94" s="100"/>
    </row>
    <row r="95" spans="1:11">
      <c r="A95" s="100"/>
      <c r="B95" s="100"/>
      <c r="C95" s="100"/>
      <c r="D95" s="100"/>
      <c r="E95" s="100"/>
      <c r="F95" s="100"/>
      <c r="G95" s="100"/>
      <c r="H95" s="100"/>
      <c r="I95" s="100"/>
      <c r="J95" s="100"/>
    </row>
  </sheetData>
  <mergeCells count="111">
    <mergeCell ref="H33:J33"/>
    <mergeCell ref="H29:J29"/>
    <mergeCell ref="F34:G34"/>
    <mergeCell ref="E48:F48"/>
    <mergeCell ref="C49:D49"/>
    <mergeCell ref="H40:J40"/>
    <mergeCell ref="H36:J36"/>
    <mergeCell ref="H35:J35"/>
    <mergeCell ref="H37:J37"/>
    <mergeCell ref="H38:J38"/>
    <mergeCell ref="D38:E38"/>
    <mergeCell ref="F38:G38"/>
    <mergeCell ref="D39:E39"/>
    <mergeCell ref="D40:E40"/>
    <mergeCell ref="F39:G39"/>
    <mergeCell ref="F40:G40"/>
    <mergeCell ref="C48:D48"/>
    <mergeCell ref="H39:J39"/>
    <mergeCell ref="H34:J34"/>
    <mergeCell ref="D23:E23"/>
    <mergeCell ref="D31:E31"/>
    <mergeCell ref="D27:E27"/>
    <mergeCell ref="D30:E30"/>
    <mergeCell ref="F30:G30"/>
    <mergeCell ref="D25:E25"/>
    <mergeCell ref="E52:F52"/>
    <mergeCell ref="D35:E35"/>
    <mergeCell ref="F35:G35"/>
    <mergeCell ref="E50:F50"/>
    <mergeCell ref="D36:E36"/>
    <mergeCell ref="F36:G36"/>
    <mergeCell ref="E49:F49"/>
    <mergeCell ref="C47:D47"/>
    <mergeCell ref="D43:E43"/>
    <mergeCell ref="E47:F47"/>
    <mergeCell ref="F41:G41"/>
    <mergeCell ref="C52:D52"/>
    <mergeCell ref="D33:E33"/>
    <mergeCell ref="F33:G33"/>
    <mergeCell ref="F20:G20"/>
    <mergeCell ref="E69:F69"/>
    <mergeCell ref="G69:H69"/>
    <mergeCell ref="D21:E21"/>
    <mergeCell ref="F21:G21"/>
    <mergeCell ref="H21:J21"/>
    <mergeCell ref="E53:F53"/>
    <mergeCell ref="C51:D51"/>
    <mergeCell ref="E51:F51"/>
    <mergeCell ref="C50:D50"/>
    <mergeCell ref="D34:E34"/>
    <mergeCell ref="C58:E58"/>
    <mergeCell ref="C59:E59"/>
    <mergeCell ref="F60:G60"/>
    <mergeCell ref="E67:H67"/>
    <mergeCell ref="F59:G59"/>
    <mergeCell ref="C57:E57"/>
    <mergeCell ref="F57:G57"/>
    <mergeCell ref="D37:E37"/>
    <mergeCell ref="F37:G37"/>
    <mergeCell ref="D22:E22"/>
    <mergeCell ref="F22:G22"/>
    <mergeCell ref="D32:E32"/>
    <mergeCell ref="F32:G32"/>
    <mergeCell ref="D11:E11"/>
    <mergeCell ref="F11:G11"/>
    <mergeCell ref="F15:G15"/>
    <mergeCell ref="F24:G24"/>
    <mergeCell ref="H23:J23"/>
    <mergeCell ref="F23:G23"/>
    <mergeCell ref="D24:E24"/>
    <mergeCell ref="H24:J24"/>
    <mergeCell ref="H22:J22"/>
    <mergeCell ref="D16:E16"/>
    <mergeCell ref="F16:G16"/>
    <mergeCell ref="D17:E17"/>
    <mergeCell ref="F17:G17"/>
    <mergeCell ref="D12:E12"/>
    <mergeCell ref="F12:G12"/>
    <mergeCell ref="D19:E19"/>
    <mergeCell ref="F19:G19"/>
    <mergeCell ref="H19:J19"/>
    <mergeCell ref="D13:E13"/>
    <mergeCell ref="F13:G13"/>
    <mergeCell ref="D14:E14"/>
    <mergeCell ref="F14:G14"/>
    <mergeCell ref="D15:E15"/>
    <mergeCell ref="D20:E20"/>
    <mergeCell ref="E7:H7"/>
    <mergeCell ref="H32:J32"/>
    <mergeCell ref="H30:J30"/>
    <mergeCell ref="D29:E29"/>
    <mergeCell ref="F25:G25"/>
    <mergeCell ref="H25:J25"/>
    <mergeCell ref="F31:G31"/>
    <mergeCell ref="H31:J31"/>
    <mergeCell ref="F29:G29"/>
    <mergeCell ref="H20:J20"/>
    <mergeCell ref="H26:J26"/>
    <mergeCell ref="D18:E18"/>
    <mergeCell ref="F18:G18"/>
    <mergeCell ref="H18:J18"/>
    <mergeCell ref="D26:E26"/>
    <mergeCell ref="F26:G26"/>
    <mergeCell ref="H27:J27"/>
    <mergeCell ref="D28:E28"/>
    <mergeCell ref="F28:G28"/>
    <mergeCell ref="H28:J28"/>
    <mergeCell ref="F27:G27"/>
    <mergeCell ref="D10:E10"/>
    <mergeCell ref="F10:G10"/>
    <mergeCell ref="H10:J10"/>
  </mergeCells>
  <phoneticPr fontId="0" type="noConversion"/>
  <pageMargins left="0.59055118110236227" right="0.75" top="1" bottom="1" header="0" footer="0"/>
  <pageSetup paperSize="9" scale="44" orientation="portrait" horizontalDpi="4294967293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29"/>
  <sheetViews>
    <sheetView showGridLines="0" topLeftCell="A5" zoomScaleNormal="100" workbookViewId="0">
      <selection activeCell="H11" sqref="H11:J14"/>
    </sheetView>
  </sheetViews>
  <sheetFormatPr defaultColWidth="11.42578125" defaultRowHeight="12"/>
  <cols>
    <col min="1" max="2" width="4.28515625" style="199" customWidth="1"/>
    <col min="3" max="10" width="12.42578125" style="199" customWidth="1"/>
    <col min="11" max="16384" width="11.42578125" style="199"/>
  </cols>
  <sheetData>
    <row r="1" spans="1:11">
      <c r="A1" s="100"/>
      <c r="B1" s="100"/>
      <c r="C1" s="152"/>
      <c r="D1" s="152"/>
      <c r="E1" s="152"/>
      <c r="F1" s="152"/>
      <c r="G1" s="152"/>
      <c r="H1" s="152"/>
      <c r="I1" s="152"/>
      <c r="J1" s="152"/>
      <c r="K1" s="100"/>
    </row>
    <row r="2" spans="1:11">
      <c r="A2" s="153"/>
      <c r="B2" s="153"/>
      <c r="C2" s="100"/>
      <c r="D2" s="100"/>
      <c r="E2" s="100"/>
      <c r="F2" s="100"/>
      <c r="G2" s="100"/>
      <c r="H2" s="100"/>
      <c r="I2" s="100"/>
      <c r="J2" s="100"/>
      <c r="K2" s="100"/>
    </row>
    <row r="3" spans="1:11">
      <c r="A3" s="153"/>
      <c r="B3" s="153"/>
      <c r="C3" s="100"/>
      <c r="D3" s="100"/>
      <c r="E3" s="100"/>
      <c r="F3" s="100"/>
      <c r="G3" s="100"/>
      <c r="H3" s="100"/>
      <c r="I3" s="100"/>
      <c r="J3" s="100"/>
      <c r="K3" s="100"/>
    </row>
    <row r="4" spans="1:11">
      <c r="A4" s="210"/>
      <c r="B4" s="210"/>
      <c r="C4" s="100"/>
      <c r="D4" s="100"/>
      <c r="E4" s="100"/>
      <c r="F4" s="100"/>
      <c r="G4" s="100"/>
      <c r="H4" s="100"/>
      <c r="I4" s="100"/>
      <c r="J4" s="100"/>
      <c r="K4" s="100"/>
    </row>
    <row r="5" spans="1:11">
      <c r="A5" s="153"/>
      <c r="B5" s="153"/>
      <c r="C5" s="100"/>
      <c r="D5" s="100"/>
      <c r="E5" s="100"/>
      <c r="F5" s="100"/>
      <c r="G5" s="100"/>
      <c r="H5" s="100"/>
      <c r="I5" s="100"/>
      <c r="J5" s="100"/>
      <c r="K5" s="100"/>
    </row>
    <row r="6" spans="1:11">
      <c r="A6" s="210"/>
      <c r="B6" s="210"/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8.75">
      <c r="A7" s="210"/>
      <c r="B7" s="210"/>
      <c r="C7" s="100"/>
      <c r="D7" s="100"/>
      <c r="E7" s="272" t="s">
        <v>1</v>
      </c>
      <c r="F7" s="272"/>
      <c r="G7" s="272"/>
      <c r="H7" s="272"/>
      <c r="I7" s="186" t="s">
        <v>67</v>
      </c>
      <c r="J7" s="187">
        <f>CARÁT!$F$16</f>
        <v>2023</v>
      </c>
      <c r="K7" s="100"/>
    </row>
    <row r="8" spans="1:11">
      <c r="A8" s="210"/>
      <c r="B8" s="210"/>
      <c r="C8" s="100"/>
      <c r="D8" s="100"/>
      <c r="E8" s="100"/>
      <c r="F8" s="100"/>
      <c r="G8" s="100"/>
      <c r="H8" s="100"/>
      <c r="I8" s="100"/>
      <c r="J8" s="100"/>
      <c r="K8" s="100"/>
    </row>
    <row r="9" spans="1:11">
      <c r="A9" s="210"/>
      <c r="B9" s="210"/>
      <c r="C9" s="100"/>
      <c r="D9" s="100"/>
      <c r="E9" s="100"/>
      <c r="F9" s="100"/>
      <c r="G9" s="100"/>
      <c r="H9" s="100"/>
      <c r="I9" s="100"/>
      <c r="J9" s="100"/>
      <c r="K9" s="100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100"/>
    </row>
    <row r="11" spans="1:11">
      <c r="A11" s="153"/>
      <c r="B11" s="153">
        <v>57</v>
      </c>
      <c r="C11" s="156">
        <v>45202</v>
      </c>
      <c r="D11" s="295" t="s">
        <v>42</v>
      </c>
      <c r="E11" s="295"/>
      <c r="F11" s="309">
        <v>60990</v>
      </c>
      <c r="G11" s="309"/>
      <c r="H11" s="157" t="s">
        <v>9</v>
      </c>
      <c r="I11" s="157"/>
      <c r="J11" s="157"/>
      <c r="K11" s="100"/>
    </row>
    <row r="12" spans="1:11">
      <c r="A12" s="153"/>
      <c r="B12" s="153">
        <v>58</v>
      </c>
      <c r="C12" s="156">
        <v>45203</v>
      </c>
      <c r="D12" s="308" t="s">
        <v>36</v>
      </c>
      <c r="E12" s="308"/>
      <c r="F12" s="275">
        <v>37470</v>
      </c>
      <c r="G12" s="275"/>
      <c r="H12" s="157" t="s">
        <v>9</v>
      </c>
      <c r="I12" s="157"/>
      <c r="J12" s="157"/>
      <c r="K12" s="100"/>
    </row>
    <row r="13" spans="1:11">
      <c r="A13" s="153"/>
      <c r="B13" s="153">
        <v>59</v>
      </c>
      <c r="C13" s="156">
        <v>45210</v>
      </c>
      <c r="D13" s="308" t="s">
        <v>36</v>
      </c>
      <c r="E13" s="308"/>
      <c r="F13" s="275">
        <v>55170</v>
      </c>
      <c r="G13" s="275"/>
      <c r="H13" s="157" t="s">
        <v>9</v>
      </c>
      <c r="I13" s="157"/>
      <c r="J13" s="157"/>
      <c r="K13" s="100"/>
    </row>
    <row r="14" spans="1:11">
      <c r="A14" s="153"/>
      <c r="B14" s="153">
        <v>60</v>
      </c>
      <c r="C14" s="156">
        <v>45221</v>
      </c>
      <c r="D14" s="308" t="s">
        <v>36</v>
      </c>
      <c r="E14" s="308"/>
      <c r="F14" s="275">
        <v>64890</v>
      </c>
      <c r="G14" s="275"/>
      <c r="H14" s="157" t="s">
        <v>9</v>
      </c>
      <c r="I14" s="157"/>
      <c r="J14" s="157"/>
      <c r="K14" s="100"/>
    </row>
    <row r="15" spans="1:11">
      <c r="A15" s="153"/>
      <c r="B15" s="153"/>
      <c r="C15" s="156"/>
      <c r="D15" s="308"/>
      <c r="E15" s="308"/>
      <c r="F15" s="275"/>
      <c r="G15" s="275"/>
      <c r="H15" s="273"/>
      <c r="I15" s="273"/>
      <c r="J15" s="273"/>
      <c r="K15" s="100"/>
    </row>
    <row r="16" spans="1:11">
      <c r="A16" s="153"/>
      <c r="B16" s="153"/>
      <c r="C16" s="156"/>
      <c r="D16" s="308"/>
      <c r="E16" s="308"/>
      <c r="F16" s="275"/>
      <c r="G16" s="275"/>
      <c r="H16" s="273"/>
      <c r="I16" s="273"/>
      <c r="J16" s="273"/>
      <c r="K16" s="100"/>
    </row>
    <row r="17" spans="1:11">
      <c r="A17" s="153"/>
      <c r="B17" s="153"/>
      <c r="C17" s="156"/>
      <c r="D17" s="308"/>
      <c r="E17" s="308"/>
      <c r="F17" s="274"/>
      <c r="G17" s="274"/>
      <c r="H17" s="273"/>
      <c r="I17" s="273"/>
      <c r="J17" s="273"/>
      <c r="K17" s="100"/>
    </row>
    <row r="18" spans="1:11">
      <c r="A18" s="153"/>
      <c r="B18" s="153"/>
      <c r="C18" s="156"/>
      <c r="D18" s="308"/>
      <c r="E18" s="308"/>
      <c r="F18" s="274"/>
      <c r="G18" s="274"/>
      <c r="H18" s="273"/>
      <c r="I18" s="273"/>
      <c r="J18" s="273"/>
      <c r="K18" s="100"/>
    </row>
    <row r="19" spans="1:11">
      <c r="A19" s="153"/>
      <c r="B19" s="153"/>
      <c r="C19" s="156"/>
      <c r="D19" s="308"/>
      <c r="E19" s="308"/>
      <c r="F19" s="274"/>
      <c r="G19" s="274"/>
      <c r="H19" s="308"/>
      <c r="I19" s="308"/>
      <c r="J19" s="308"/>
      <c r="K19" s="100"/>
    </row>
    <row r="20" spans="1:11">
      <c r="A20" s="153"/>
      <c r="B20" s="153"/>
      <c r="C20" s="156"/>
      <c r="D20" s="308"/>
      <c r="E20" s="308"/>
      <c r="F20" s="274"/>
      <c r="G20" s="274"/>
      <c r="H20" s="308"/>
      <c r="I20" s="308"/>
      <c r="J20" s="308"/>
      <c r="K20" s="100"/>
    </row>
    <row r="21" spans="1:11">
      <c r="A21" s="153"/>
      <c r="B21" s="153"/>
      <c r="C21" s="156"/>
      <c r="D21" s="308"/>
      <c r="E21" s="308"/>
      <c r="F21" s="274"/>
      <c r="G21" s="274"/>
      <c r="H21" s="308"/>
      <c r="I21" s="308"/>
      <c r="J21" s="308"/>
      <c r="K21" s="100"/>
    </row>
    <row r="22" spans="1:11">
      <c r="A22" s="153"/>
      <c r="B22" s="153"/>
      <c r="C22" s="156"/>
      <c r="D22" s="308"/>
      <c r="E22" s="308"/>
      <c r="F22" s="274"/>
      <c r="G22" s="274"/>
      <c r="H22" s="308"/>
      <c r="I22" s="308"/>
      <c r="J22" s="308"/>
      <c r="K22" s="100"/>
    </row>
    <row r="23" spans="1:11">
      <c r="A23" s="153"/>
      <c r="B23" s="153"/>
      <c r="C23" s="156"/>
      <c r="D23" s="308"/>
      <c r="E23" s="308"/>
      <c r="F23" s="274"/>
      <c r="G23" s="274"/>
      <c r="H23" s="308"/>
      <c r="I23" s="308"/>
      <c r="J23" s="308"/>
      <c r="K23" s="100"/>
    </row>
    <row r="24" spans="1:11">
      <c r="A24" s="153"/>
      <c r="B24" s="153"/>
      <c r="C24" s="156"/>
      <c r="D24" s="308"/>
      <c r="E24" s="308"/>
      <c r="F24" s="274"/>
      <c r="G24" s="274"/>
      <c r="H24" s="308"/>
      <c r="I24" s="308"/>
      <c r="J24" s="308"/>
      <c r="K24" s="100"/>
    </row>
    <row r="25" spans="1:11">
      <c r="A25" s="153"/>
      <c r="B25" s="153"/>
      <c r="C25" s="156"/>
      <c r="D25" s="308"/>
      <c r="E25" s="308"/>
      <c r="F25" s="274"/>
      <c r="G25" s="274"/>
      <c r="H25" s="308"/>
      <c r="I25" s="308"/>
      <c r="J25" s="308"/>
      <c r="K25" s="100"/>
    </row>
    <row r="26" spans="1:11">
      <c r="A26" s="153"/>
      <c r="B26" s="153"/>
      <c r="C26" s="156"/>
      <c r="D26" s="308"/>
      <c r="E26" s="308"/>
      <c r="F26" s="274"/>
      <c r="G26" s="274"/>
      <c r="H26" s="308"/>
      <c r="I26" s="308"/>
      <c r="J26" s="308"/>
      <c r="K26" s="100"/>
    </row>
    <row r="27" spans="1:11">
      <c r="A27" s="153"/>
      <c r="B27" s="153"/>
      <c r="C27" s="156"/>
      <c r="D27" s="308"/>
      <c r="E27" s="308"/>
      <c r="F27" s="274"/>
      <c r="G27" s="274"/>
      <c r="H27" s="308"/>
      <c r="I27" s="308"/>
      <c r="J27" s="308"/>
      <c r="K27" s="100"/>
    </row>
    <row r="28" spans="1:11">
      <c r="A28" s="153"/>
      <c r="B28" s="153"/>
      <c r="C28" s="156"/>
      <c r="D28" s="308"/>
      <c r="E28" s="308"/>
      <c r="F28" s="274"/>
      <c r="G28" s="274"/>
      <c r="H28" s="308"/>
      <c r="I28" s="308"/>
      <c r="J28" s="308"/>
      <c r="K28" s="100"/>
    </row>
    <row r="29" spans="1:11">
      <c r="A29" s="153"/>
      <c r="B29" s="153"/>
      <c r="C29" s="156"/>
      <c r="D29" s="308"/>
      <c r="E29" s="308"/>
      <c r="F29" s="274"/>
      <c r="G29" s="274"/>
      <c r="H29" s="308"/>
      <c r="I29" s="308"/>
      <c r="J29" s="308"/>
      <c r="K29" s="100"/>
    </row>
    <row r="30" spans="1:11">
      <c r="A30" s="153"/>
      <c r="B30" s="153"/>
      <c r="C30" s="156"/>
      <c r="D30" s="308"/>
      <c r="E30" s="308"/>
      <c r="F30" s="274"/>
      <c r="G30" s="274"/>
      <c r="H30" s="308"/>
      <c r="I30" s="308"/>
      <c r="J30" s="308"/>
      <c r="K30" s="100"/>
    </row>
    <row r="31" spans="1:11">
      <c r="A31" s="153"/>
      <c r="B31" s="153"/>
      <c r="C31" s="156"/>
      <c r="D31" s="308"/>
      <c r="E31" s="308"/>
      <c r="F31" s="274"/>
      <c r="G31" s="274"/>
      <c r="H31" s="308"/>
      <c r="I31" s="308"/>
      <c r="J31" s="308"/>
      <c r="K31" s="100"/>
    </row>
    <row r="32" spans="1:11">
      <c r="A32" s="153"/>
      <c r="B32" s="153"/>
      <c r="C32" s="156"/>
      <c r="D32" s="308"/>
      <c r="E32" s="308"/>
      <c r="F32" s="274"/>
      <c r="G32" s="274"/>
      <c r="H32" s="308"/>
      <c r="I32" s="308"/>
      <c r="J32" s="308"/>
      <c r="K32" s="100"/>
    </row>
    <row r="33" spans="1:11">
      <c r="A33" s="153"/>
      <c r="B33" s="153"/>
      <c r="C33" s="156"/>
      <c r="D33" s="308"/>
      <c r="E33" s="308"/>
      <c r="F33" s="274"/>
      <c r="G33" s="274"/>
      <c r="H33" s="308"/>
      <c r="I33" s="308"/>
      <c r="J33" s="308"/>
      <c r="K33" s="100"/>
    </row>
    <row r="34" spans="1:11">
      <c r="A34" s="153"/>
      <c r="B34" s="153"/>
      <c r="C34" s="156"/>
      <c r="D34" s="308"/>
      <c r="E34" s="308"/>
      <c r="F34" s="274"/>
      <c r="G34" s="274"/>
      <c r="H34" s="308"/>
      <c r="I34" s="308"/>
      <c r="J34" s="308"/>
      <c r="K34" s="100"/>
    </row>
    <row r="35" spans="1:11">
      <c r="A35" s="153"/>
      <c r="B35" s="153"/>
      <c r="C35" s="156"/>
      <c r="D35" s="308"/>
      <c r="E35" s="308"/>
      <c r="F35" s="275"/>
      <c r="G35" s="275"/>
      <c r="H35" s="308"/>
      <c r="I35" s="308"/>
      <c r="J35" s="308"/>
      <c r="K35" s="100"/>
    </row>
    <row r="36" spans="1:11">
      <c r="A36" s="153"/>
      <c r="B36" s="153"/>
      <c r="C36" s="156"/>
      <c r="D36" s="331"/>
      <c r="E36" s="331"/>
      <c r="F36" s="274"/>
      <c r="G36" s="274"/>
      <c r="H36" s="308"/>
      <c r="I36" s="308"/>
      <c r="J36" s="308"/>
      <c r="K36" s="100"/>
    </row>
    <row r="37" spans="1:11">
      <c r="A37" s="153"/>
      <c r="B37" s="153"/>
      <c r="C37" s="159"/>
      <c r="D37" s="160"/>
      <c r="E37" s="160"/>
      <c r="F37" s="293">
        <f>SUM(F11:G36)</f>
        <v>218520</v>
      </c>
      <c r="G37" s="294"/>
      <c r="H37" s="95"/>
      <c r="I37" s="95"/>
      <c r="J37" s="95"/>
      <c r="K37" s="100"/>
    </row>
    <row r="38" spans="1:11">
      <c r="A38" s="153"/>
      <c r="B38" s="153"/>
      <c r="C38" s="159"/>
      <c r="D38" s="160"/>
      <c r="E38" s="160"/>
      <c r="F38" s="184"/>
      <c r="G38" s="184"/>
      <c r="H38" s="95"/>
      <c r="I38" s="95"/>
      <c r="J38" s="95"/>
      <c r="K38" s="100"/>
    </row>
    <row r="39" spans="1:11">
      <c r="A39" s="153"/>
      <c r="B39" s="153"/>
      <c r="C39" s="100"/>
      <c r="D39" s="289" t="s">
        <v>10</v>
      </c>
      <c r="E39" s="289"/>
      <c r="F39" s="100"/>
      <c r="G39" s="162">
        <f>F37/1000</f>
        <v>218.52</v>
      </c>
      <c r="H39" s="100"/>
      <c r="I39" s="100"/>
      <c r="J39" s="100"/>
      <c r="K39" s="100"/>
    </row>
    <row r="40" spans="1:11">
      <c r="A40" s="153"/>
      <c r="B40" s="153"/>
      <c r="C40" s="100"/>
      <c r="D40" s="166"/>
      <c r="E40" s="166"/>
      <c r="F40" s="100"/>
      <c r="G40" s="254"/>
      <c r="H40" s="100"/>
      <c r="I40" s="100"/>
      <c r="J40" s="100"/>
      <c r="K40" s="100"/>
    </row>
    <row r="41" spans="1:11">
      <c r="A41" s="153"/>
      <c r="B41" s="153"/>
      <c r="C41" s="100"/>
      <c r="D41" s="166"/>
      <c r="E41" s="166"/>
      <c r="F41" s="100"/>
      <c r="G41" s="254"/>
      <c r="H41" s="100"/>
      <c r="I41" s="100"/>
      <c r="J41" s="100"/>
      <c r="K41" s="100"/>
    </row>
    <row r="42" spans="1:11">
      <c r="A42" s="153"/>
      <c r="B42" s="153"/>
      <c r="C42" s="100"/>
      <c r="D42" s="100"/>
      <c r="E42" s="161"/>
      <c r="F42" s="100"/>
      <c r="G42" s="100"/>
      <c r="H42" s="100"/>
      <c r="I42" s="100"/>
      <c r="J42" s="100"/>
      <c r="K42" s="100"/>
    </row>
    <row r="43" spans="1:11">
      <c r="A43" s="153"/>
      <c r="B43" s="153"/>
      <c r="C43" s="287" t="s">
        <v>11</v>
      </c>
      <c r="D43" s="287"/>
      <c r="E43" s="287" t="s">
        <v>12</v>
      </c>
      <c r="F43" s="287"/>
      <c r="G43" s="154" t="s">
        <v>13</v>
      </c>
      <c r="H43" s="154" t="s">
        <v>14</v>
      </c>
      <c r="I43" s="100"/>
      <c r="J43" s="100"/>
      <c r="K43" s="100"/>
    </row>
    <row r="44" spans="1:11">
      <c r="A44" s="153"/>
      <c r="B44" s="153"/>
      <c r="C44" s="273"/>
      <c r="D44" s="273"/>
      <c r="E44" s="332"/>
      <c r="F44" s="332"/>
      <c r="G44" s="163">
        <f>+E44/E49</f>
        <v>0</v>
      </c>
      <c r="H44" s="164"/>
      <c r="I44" s="100"/>
      <c r="J44" s="100"/>
      <c r="K44" s="100"/>
    </row>
    <row r="45" spans="1:11">
      <c r="A45" s="153"/>
      <c r="B45" s="153"/>
      <c r="C45" s="273" t="s">
        <v>54</v>
      </c>
      <c r="D45" s="273"/>
      <c r="E45" s="332"/>
      <c r="F45" s="332"/>
      <c r="G45" s="163">
        <f>+E45/E49</f>
        <v>0</v>
      </c>
      <c r="H45" s="164"/>
      <c r="I45" s="100"/>
      <c r="J45" s="100"/>
      <c r="K45" s="100"/>
    </row>
    <row r="46" spans="1:11">
      <c r="A46" s="153"/>
      <c r="B46" s="153"/>
      <c r="C46" s="273" t="s">
        <v>65</v>
      </c>
      <c r="D46" s="273"/>
      <c r="E46" s="332"/>
      <c r="F46" s="332"/>
      <c r="G46" s="163">
        <f>+E46/E49</f>
        <v>0</v>
      </c>
      <c r="H46" s="164"/>
      <c r="I46" s="100"/>
      <c r="J46" s="100"/>
      <c r="K46" s="100"/>
    </row>
    <row r="47" spans="1:11">
      <c r="A47" s="153"/>
      <c r="B47" s="153"/>
      <c r="C47" s="273" t="s">
        <v>37</v>
      </c>
      <c r="D47" s="273"/>
      <c r="E47" s="332">
        <f>F11+F12+F13+F14</f>
        <v>218520</v>
      </c>
      <c r="F47" s="332"/>
      <c r="G47" s="163">
        <f>+E47/E49</f>
        <v>1</v>
      </c>
      <c r="H47" s="164">
        <v>4</v>
      </c>
      <c r="I47" s="100"/>
      <c r="J47" s="100"/>
      <c r="K47" s="100"/>
    </row>
    <row r="48" spans="1:11">
      <c r="A48" s="153"/>
      <c r="B48" s="153"/>
      <c r="C48" s="273" t="s">
        <v>16</v>
      </c>
      <c r="D48" s="273"/>
      <c r="E48" s="274"/>
      <c r="F48" s="274"/>
      <c r="G48" s="163">
        <f>+E48/E49</f>
        <v>0</v>
      </c>
      <c r="H48" s="164"/>
      <c r="I48" s="100"/>
      <c r="J48" s="100"/>
      <c r="K48" s="100"/>
    </row>
    <row r="49" spans="1:11">
      <c r="A49" s="153"/>
      <c r="B49" s="153"/>
      <c r="C49" s="165"/>
      <c r="D49" s="166" t="s">
        <v>20</v>
      </c>
      <c r="E49" s="329">
        <f>SUM(E44:F48)</f>
        <v>218520</v>
      </c>
      <c r="F49" s="329"/>
      <c r="G49" s="167">
        <f>SUM(G44:G48)</f>
        <v>1</v>
      </c>
      <c r="H49" s="168">
        <f>SUM(H44:H48)</f>
        <v>4</v>
      </c>
      <c r="I49" s="100"/>
      <c r="J49" s="100"/>
      <c r="K49" s="100"/>
    </row>
    <row r="50" spans="1:11">
      <c r="A50" s="153"/>
      <c r="B50" s="153"/>
      <c r="C50" s="165"/>
      <c r="D50" s="166"/>
      <c r="E50" s="255"/>
      <c r="F50" s="255"/>
      <c r="G50" s="185"/>
      <c r="H50" s="256"/>
      <c r="I50" s="100"/>
      <c r="J50" s="100"/>
      <c r="K50" s="100"/>
    </row>
    <row r="51" spans="1:11">
      <c r="A51" s="153"/>
      <c r="B51" s="153"/>
      <c r="C51" s="165"/>
      <c r="D51" s="166"/>
      <c r="E51" s="255"/>
      <c r="F51" s="255"/>
      <c r="G51" s="185"/>
      <c r="H51" s="256"/>
      <c r="I51" s="100"/>
      <c r="J51" s="100"/>
      <c r="K51" s="100"/>
    </row>
    <row r="52" spans="1:11">
      <c r="A52" s="153"/>
      <c r="B52" s="153"/>
      <c r="C52" s="170"/>
      <c r="D52" s="100"/>
      <c r="E52" s="96"/>
      <c r="F52" s="171"/>
      <c r="G52" s="172"/>
      <c r="H52" s="100"/>
      <c r="I52" s="100"/>
      <c r="J52" s="100"/>
      <c r="K52" s="100"/>
    </row>
    <row r="53" spans="1:11">
      <c r="A53" s="153"/>
      <c r="B53" s="153"/>
      <c r="C53" s="283" t="s">
        <v>7</v>
      </c>
      <c r="D53" s="284"/>
      <c r="E53" s="285"/>
      <c r="F53" s="286" t="s">
        <v>6</v>
      </c>
      <c r="G53" s="287"/>
      <c r="H53" s="154" t="s">
        <v>13</v>
      </c>
      <c r="I53" s="100"/>
      <c r="J53" s="100"/>
      <c r="K53" s="100"/>
    </row>
    <row r="54" spans="1:11">
      <c r="A54" s="153"/>
      <c r="B54" s="153"/>
      <c r="C54" s="308" t="s">
        <v>21</v>
      </c>
      <c r="D54" s="308"/>
      <c r="E54" s="308"/>
      <c r="F54" s="282"/>
      <c r="G54" s="282"/>
      <c r="H54" s="163">
        <f>+F54/F57</f>
        <v>0</v>
      </c>
      <c r="I54" s="100"/>
      <c r="J54" s="100"/>
      <c r="K54" s="100"/>
    </row>
    <row r="55" spans="1:11">
      <c r="A55" s="153"/>
      <c r="B55" s="153"/>
      <c r="C55" s="308" t="s">
        <v>22</v>
      </c>
      <c r="D55" s="308"/>
      <c r="E55" s="308"/>
      <c r="F55" s="274">
        <f>F37</f>
        <v>218520</v>
      </c>
      <c r="G55" s="274"/>
      <c r="H55" s="163">
        <f>+F55/F57</f>
        <v>1</v>
      </c>
      <c r="I55" s="100"/>
      <c r="J55" s="100"/>
      <c r="K55" s="100"/>
    </row>
    <row r="56" spans="1:11">
      <c r="A56" s="153"/>
      <c r="B56" s="153"/>
      <c r="C56" s="153"/>
      <c r="D56" s="153"/>
      <c r="E56" s="153"/>
      <c r="F56" s="158"/>
      <c r="G56" s="158"/>
      <c r="H56" s="163"/>
      <c r="I56" s="100"/>
      <c r="J56" s="100"/>
      <c r="K56" s="100"/>
    </row>
    <row r="57" spans="1:11">
      <c r="A57" s="153"/>
      <c r="B57" s="153"/>
      <c r="C57" s="100"/>
      <c r="D57" s="100" t="s">
        <v>20</v>
      </c>
      <c r="E57" s="100"/>
      <c r="F57" s="278">
        <f>SUM(F54:G55)</f>
        <v>218520</v>
      </c>
      <c r="G57" s="278"/>
      <c r="H57" s="167">
        <f>SUM(H54:H55)</f>
        <v>1</v>
      </c>
      <c r="I57" s="100"/>
      <c r="J57" s="100"/>
      <c r="K57" s="100"/>
    </row>
    <row r="58" spans="1:11">
      <c r="A58" s="153"/>
      <c r="B58" s="153"/>
      <c r="C58" s="100"/>
      <c r="D58" s="100"/>
      <c r="E58" s="100"/>
      <c r="F58" s="184"/>
      <c r="G58" s="184"/>
      <c r="H58" s="185"/>
      <c r="I58" s="100"/>
      <c r="J58" s="100"/>
      <c r="K58" s="100"/>
    </row>
    <row r="59" spans="1:11">
      <c r="A59" s="153"/>
      <c r="B59" s="153"/>
      <c r="C59" s="100"/>
      <c r="D59" s="100"/>
      <c r="E59" s="100"/>
      <c r="F59" s="184"/>
      <c r="G59" s="184"/>
      <c r="H59" s="185"/>
      <c r="I59" s="100"/>
      <c r="J59" s="100"/>
      <c r="K59" s="100"/>
    </row>
    <row r="60" spans="1:11">
      <c r="A60" s="153"/>
      <c r="B60" s="153"/>
      <c r="C60" s="100"/>
      <c r="D60" s="100"/>
      <c r="E60" s="100"/>
      <c r="F60" s="184"/>
      <c r="G60" s="184"/>
      <c r="H60" s="185"/>
      <c r="I60" s="100"/>
      <c r="J60" s="100"/>
      <c r="K60" s="100"/>
    </row>
    <row r="61" spans="1:11">
      <c r="A61" s="153"/>
      <c r="B61" s="153"/>
      <c r="C61" s="100"/>
      <c r="D61" s="100"/>
      <c r="E61" s="100"/>
      <c r="F61" s="184"/>
      <c r="G61" s="184"/>
      <c r="H61" s="185"/>
      <c r="I61" s="100"/>
      <c r="J61" s="100"/>
      <c r="K61" s="100"/>
    </row>
    <row r="62" spans="1:11">
      <c r="A62" s="153"/>
      <c r="B62" s="153"/>
      <c r="C62" s="100"/>
      <c r="D62" s="100"/>
      <c r="E62" s="100"/>
      <c r="F62" s="184"/>
      <c r="G62" s="184"/>
      <c r="H62" s="185"/>
      <c r="I62" s="100"/>
      <c r="J62" s="100"/>
      <c r="K62" s="100"/>
    </row>
    <row r="63" spans="1:11">
      <c r="A63" s="153"/>
      <c r="B63" s="153"/>
      <c r="C63" s="100"/>
      <c r="D63" s="100"/>
      <c r="E63" s="100"/>
      <c r="F63" s="184"/>
      <c r="G63" s="184"/>
      <c r="H63" s="185"/>
      <c r="I63" s="100"/>
      <c r="J63" s="100"/>
      <c r="K63" s="100"/>
    </row>
    <row r="64" spans="1:11">
      <c r="A64" s="153"/>
      <c r="B64" s="153"/>
      <c r="C64" s="100"/>
      <c r="D64" s="100"/>
      <c r="E64" s="279" t="s">
        <v>23</v>
      </c>
      <c r="F64" s="279"/>
      <c r="G64" s="279"/>
      <c r="H64" s="279"/>
      <c r="I64" s="100"/>
      <c r="J64" s="100"/>
      <c r="K64" s="100"/>
    </row>
    <row r="65" spans="1:11">
      <c r="A65" s="153"/>
      <c r="B65" s="153"/>
      <c r="C65" s="100"/>
      <c r="D65" s="212"/>
      <c r="E65" s="100"/>
      <c r="F65" s="100"/>
      <c r="G65" s="100"/>
      <c r="H65" s="100"/>
      <c r="I65" s="100"/>
      <c r="J65" s="100"/>
      <c r="K65" s="100"/>
    </row>
    <row r="66" spans="1:11">
      <c r="A66" s="100"/>
      <c r="B66" s="100"/>
      <c r="C66" s="100"/>
      <c r="D66" s="213" t="s">
        <v>24</v>
      </c>
      <c r="E66" s="297" t="s">
        <v>25</v>
      </c>
      <c r="F66" s="298"/>
      <c r="G66" s="297" t="s">
        <v>26</v>
      </c>
      <c r="H66" s="298"/>
      <c r="I66" s="100"/>
      <c r="J66" s="100"/>
      <c r="K66" s="100"/>
    </row>
    <row r="67" spans="1:11">
      <c r="A67" s="100"/>
      <c r="B67" s="100"/>
      <c r="C67" s="100"/>
      <c r="D67" s="214" t="s">
        <v>27</v>
      </c>
      <c r="E67" s="215" t="s">
        <v>28</v>
      </c>
      <c r="F67" s="215" t="s">
        <v>29</v>
      </c>
      <c r="G67" s="215" t="s">
        <v>28</v>
      </c>
      <c r="H67" s="215" t="s">
        <v>29</v>
      </c>
      <c r="I67" s="100"/>
      <c r="J67" s="100"/>
      <c r="K67" s="100"/>
    </row>
    <row r="68" spans="1:11">
      <c r="A68" s="100"/>
      <c r="B68" s="100"/>
      <c r="C68" s="100"/>
      <c r="D68" s="190" t="s">
        <v>30</v>
      </c>
      <c r="E68" s="198">
        <f>Comparativo!AY13</f>
        <v>559.32000000000005</v>
      </c>
      <c r="F68" s="206">
        <f>Comparativo!AZ13</f>
        <v>15</v>
      </c>
      <c r="G68" s="250">
        <f>ENE!$G$46</f>
        <v>123.39</v>
      </c>
      <c r="H68" s="207">
        <f>ENE!$H$55</f>
        <v>4</v>
      </c>
      <c r="I68" s="100"/>
      <c r="J68" s="100"/>
      <c r="K68" s="100"/>
    </row>
    <row r="69" spans="1:11">
      <c r="A69" s="100"/>
      <c r="B69" s="100"/>
      <c r="C69" s="100"/>
      <c r="D69" s="190" t="s">
        <v>34</v>
      </c>
      <c r="E69" s="220">
        <f>Comparativo!AY14</f>
        <v>437.76</v>
      </c>
      <c r="F69" s="219">
        <f>Comparativo!AZ14</f>
        <v>19</v>
      </c>
      <c r="G69" s="192">
        <f>FEB!$G$48</f>
        <v>176.79</v>
      </c>
      <c r="H69" s="191">
        <f>FEB!$H$57</f>
        <v>6</v>
      </c>
      <c r="I69" s="100"/>
      <c r="J69" s="100"/>
      <c r="K69" s="100"/>
    </row>
    <row r="70" spans="1:11">
      <c r="A70" s="100"/>
      <c r="B70" s="100"/>
      <c r="C70" s="100"/>
      <c r="D70" s="197" t="s">
        <v>38</v>
      </c>
      <c r="E70" s="220">
        <f>Comparativo!AY15</f>
        <v>541.5</v>
      </c>
      <c r="F70" s="219">
        <f>Comparativo!AZ15</f>
        <v>15</v>
      </c>
      <c r="G70" s="192">
        <f>MAR!$G$43</f>
        <v>370.56</v>
      </c>
      <c r="H70" s="191">
        <f>MAR!$H$51</f>
        <v>11</v>
      </c>
      <c r="I70" s="100"/>
      <c r="J70" s="100"/>
      <c r="K70" s="100"/>
    </row>
    <row r="71" spans="1:11">
      <c r="A71" s="100"/>
      <c r="B71" s="100"/>
      <c r="C71" s="100"/>
      <c r="D71" s="197" t="s">
        <v>44</v>
      </c>
      <c r="E71" s="220">
        <f>Comparativo!AY16</f>
        <v>509.58</v>
      </c>
      <c r="F71" s="219">
        <f>Comparativo!AZ16</f>
        <v>18</v>
      </c>
      <c r="G71" s="192">
        <f>ABR!$G$41</f>
        <v>201.99</v>
      </c>
      <c r="H71" s="191">
        <f>ABR!$H$50</f>
        <v>8</v>
      </c>
      <c r="I71" s="100"/>
      <c r="J71" s="100"/>
      <c r="K71" s="100"/>
    </row>
    <row r="72" spans="1:11">
      <c r="A72" s="100"/>
      <c r="B72" s="100"/>
      <c r="C72" s="100"/>
      <c r="D72" s="190" t="s">
        <v>46</v>
      </c>
      <c r="E72" s="220">
        <f>Comparativo!AY17</f>
        <v>38.22</v>
      </c>
      <c r="F72" s="219">
        <f>Comparativo!AZ17</f>
        <v>2</v>
      </c>
      <c r="G72" s="220">
        <f>MAY!$G$44</f>
        <v>60.9</v>
      </c>
      <c r="H72" s="219">
        <f>MAY!$H$52</f>
        <v>2</v>
      </c>
      <c r="I72" s="100"/>
      <c r="J72" s="100"/>
      <c r="K72" s="100"/>
    </row>
    <row r="73" spans="1:11">
      <c r="A73" s="100"/>
      <c r="B73" s="100"/>
      <c r="C73" s="100"/>
      <c r="D73" s="197" t="s">
        <v>48</v>
      </c>
      <c r="E73" s="220">
        <f>Comparativo!AY18</f>
        <v>136.56</v>
      </c>
      <c r="F73" s="219">
        <f>Comparativo!AZ18</f>
        <v>2</v>
      </c>
      <c r="G73" s="220">
        <f>JUN!$G$33</f>
        <v>0</v>
      </c>
      <c r="H73" s="219">
        <f>JUN!$H$42</f>
        <v>0</v>
      </c>
      <c r="I73" s="100"/>
      <c r="J73" s="100"/>
      <c r="K73" s="100"/>
    </row>
    <row r="74" spans="1:11">
      <c r="A74" s="100"/>
      <c r="B74" s="100"/>
      <c r="C74" s="100"/>
      <c r="D74" s="197" t="s">
        <v>57</v>
      </c>
      <c r="E74" s="220">
        <f>Comparativo!AY20</f>
        <v>380.88</v>
      </c>
      <c r="F74" s="219">
        <f>Comparativo!AZ20</f>
        <v>6</v>
      </c>
      <c r="G74" s="220">
        <f>JUL!$G$33</f>
        <v>0</v>
      </c>
      <c r="H74" s="219">
        <f>JUL!$H$42</f>
        <v>0</v>
      </c>
      <c r="I74" s="100"/>
      <c r="J74" s="100"/>
      <c r="K74" s="100"/>
    </row>
    <row r="75" spans="1:11">
      <c r="A75" s="100"/>
      <c r="B75" s="100"/>
      <c r="C75" s="100"/>
      <c r="D75" s="197" t="s">
        <v>62</v>
      </c>
      <c r="E75" s="220">
        <f>Comparativo!AY21</f>
        <v>807.75</v>
      </c>
      <c r="F75" s="219">
        <f>Comparativo!AZ21</f>
        <v>21</v>
      </c>
      <c r="G75" s="96">
        <f>AGO!$G$36</f>
        <v>132.38999999999999</v>
      </c>
      <c r="H75" s="219">
        <f>AGO!$H$47</f>
        <v>4</v>
      </c>
      <c r="I75" s="100"/>
      <c r="J75" s="100"/>
      <c r="K75" s="100"/>
    </row>
    <row r="76" spans="1:11">
      <c r="A76" s="100"/>
      <c r="B76" s="100"/>
      <c r="C76" s="100"/>
      <c r="D76" s="197" t="s">
        <v>66</v>
      </c>
      <c r="E76" s="220">
        <f>Comparativo!AY22</f>
        <v>60.66</v>
      </c>
      <c r="F76" s="219">
        <f>Comparativo!AZ22</f>
        <v>3</v>
      </c>
      <c r="G76" s="96">
        <f>SEP!$G$43</f>
        <v>142.59</v>
      </c>
      <c r="H76" s="219">
        <f>SEP!$H$53</f>
        <v>3</v>
      </c>
      <c r="I76" s="100"/>
      <c r="J76" s="100"/>
      <c r="K76" s="100"/>
    </row>
    <row r="77" spans="1:11">
      <c r="A77" s="100"/>
      <c r="B77" s="100"/>
      <c r="C77" s="100"/>
      <c r="D77" s="193" t="s">
        <v>68</v>
      </c>
      <c r="E77" s="222">
        <f>Comparativo!AY23</f>
        <v>230.07</v>
      </c>
      <c r="F77" s="223">
        <f>Comparativo!AZ23</f>
        <v>6</v>
      </c>
      <c r="G77" s="224">
        <f>G39</f>
        <v>218.52</v>
      </c>
      <c r="H77" s="223">
        <f>H49</f>
        <v>4</v>
      </c>
      <c r="I77" s="100"/>
      <c r="J77" s="100"/>
      <c r="K77" s="100"/>
    </row>
    <row r="78" spans="1:11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</row>
    <row r="79" spans="1:11">
      <c r="A79" s="100"/>
      <c r="B79" s="100"/>
      <c r="C79" s="100"/>
      <c r="D79" s="100"/>
      <c r="E79" s="179">
        <f>SUM(E68:E78)</f>
        <v>3702.2999999999997</v>
      </c>
      <c r="F79" s="180">
        <f>SUM(F68:F78)</f>
        <v>107</v>
      </c>
      <c r="G79" s="179">
        <f>SUM(G68:G78)</f>
        <v>1427.1299999999999</v>
      </c>
      <c r="H79" s="180">
        <f>SUM(H68:H78)</f>
        <v>42</v>
      </c>
      <c r="I79" s="100"/>
      <c r="J79" s="100"/>
      <c r="K79" s="100"/>
    </row>
    <row r="80" spans="1:11">
      <c r="A80" s="100"/>
      <c r="B80" s="100"/>
      <c r="C80" s="100"/>
      <c r="D80" s="100"/>
      <c r="E80" s="100"/>
      <c r="F80" s="100"/>
      <c r="G80" s="100"/>
      <c r="H80" s="100"/>
      <c r="I80" s="100"/>
      <c r="J80" s="100"/>
    </row>
    <row r="81" spans="1:10">
      <c r="A81" s="100"/>
      <c r="B81" s="100"/>
      <c r="C81" s="100"/>
      <c r="D81" s="100"/>
      <c r="E81" s="100"/>
      <c r="F81" s="100"/>
      <c r="G81" s="100"/>
      <c r="H81" s="100"/>
      <c r="I81" s="100"/>
      <c r="J81" s="100"/>
    </row>
    <row r="82" spans="1:10">
      <c r="A82" s="100"/>
      <c r="B82" s="100"/>
      <c r="C82" s="100"/>
      <c r="D82" s="100"/>
      <c r="E82" s="100"/>
      <c r="F82" s="100"/>
      <c r="G82" s="100"/>
      <c r="H82" s="100"/>
      <c r="I82" s="100"/>
      <c r="J82" s="100"/>
    </row>
    <row r="83" spans="1:10">
      <c r="A83" s="100"/>
      <c r="B83" s="100"/>
      <c r="C83" s="100"/>
      <c r="D83" s="100"/>
      <c r="E83" s="100"/>
      <c r="F83" s="100"/>
      <c r="G83" s="100"/>
      <c r="H83" s="100"/>
      <c r="I83" s="100"/>
      <c r="J83" s="100"/>
    </row>
    <row r="84" spans="1:10">
      <c r="A84" s="100"/>
      <c r="B84" s="100"/>
      <c r="C84" s="100"/>
      <c r="D84" s="100"/>
      <c r="E84" s="100"/>
      <c r="F84" s="100"/>
      <c r="G84" s="100"/>
      <c r="H84" s="100"/>
      <c r="I84" s="100"/>
      <c r="J84" s="100"/>
    </row>
    <row r="85" spans="1:10">
      <c r="A85" s="100"/>
      <c r="B85" s="100"/>
      <c r="C85" s="100"/>
      <c r="D85" s="100"/>
      <c r="E85" s="100"/>
      <c r="F85" s="100"/>
      <c r="G85" s="100"/>
      <c r="H85" s="100"/>
      <c r="I85" s="100"/>
      <c r="J85" s="100"/>
    </row>
    <row r="86" spans="1:10">
      <c r="A86" s="100"/>
      <c r="B86" s="100"/>
      <c r="C86" s="100"/>
      <c r="D86" s="100"/>
      <c r="E86" s="100"/>
      <c r="F86" s="100"/>
      <c r="G86" s="100"/>
      <c r="H86" s="100"/>
      <c r="I86" s="100"/>
      <c r="J86" s="100"/>
    </row>
    <row r="87" spans="1:10">
      <c r="A87" s="100"/>
      <c r="B87" s="100"/>
      <c r="C87" s="100"/>
      <c r="D87" s="100"/>
      <c r="E87" s="100"/>
      <c r="F87" s="100"/>
      <c r="G87" s="100"/>
      <c r="H87" s="100"/>
      <c r="I87" s="100"/>
      <c r="J87" s="100"/>
    </row>
    <row r="88" spans="1:10">
      <c r="A88" s="100"/>
      <c r="B88" s="100"/>
      <c r="C88" s="100"/>
      <c r="D88" s="100"/>
      <c r="E88" s="100"/>
      <c r="F88" s="100"/>
      <c r="G88" s="100"/>
      <c r="H88" s="100"/>
      <c r="I88" s="100"/>
      <c r="J88" s="100"/>
    </row>
    <row r="89" spans="1:10">
      <c r="A89" s="100"/>
      <c r="B89" s="100"/>
      <c r="C89" s="100"/>
      <c r="D89" s="100"/>
      <c r="E89" s="100"/>
      <c r="F89" s="100"/>
      <c r="G89" s="100"/>
      <c r="H89" s="100"/>
      <c r="I89" s="100"/>
      <c r="J89" s="100"/>
    </row>
    <row r="90" spans="1:10">
      <c r="A90" s="100"/>
      <c r="B90" s="100"/>
      <c r="C90" s="100"/>
      <c r="D90" s="100"/>
      <c r="E90" s="100"/>
      <c r="F90" s="100"/>
      <c r="G90" s="100"/>
      <c r="H90" s="100"/>
      <c r="I90" s="100"/>
      <c r="J90" s="100"/>
    </row>
    <row r="91" spans="1:10">
      <c r="A91" s="100"/>
      <c r="B91" s="100"/>
      <c r="C91" s="100"/>
      <c r="D91" s="100"/>
      <c r="E91" s="100"/>
      <c r="F91" s="100"/>
      <c r="G91" s="100"/>
      <c r="H91" s="100"/>
      <c r="I91" s="100"/>
      <c r="J91" s="100"/>
    </row>
    <row r="92" spans="1:10">
      <c r="A92" s="100"/>
      <c r="B92" s="100"/>
      <c r="C92" s="100"/>
      <c r="D92" s="100"/>
      <c r="E92" s="100"/>
      <c r="F92" s="100"/>
      <c r="G92" s="100"/>
      <c r="H92" s="100"/>
      <c r="I92" s="100"/>
      <c r="J92" s="100"/>
    </row>
    <row r="93" spans="1:10">
      <c r="A93" s="100"/>
      <c r="B93" s="100"/>
      <c r="C93" s="100"/>
      <c r="D93" s="100"/>
      <c r="E93" s="100"/>
      <c r="F93" s="100"/>
      <c r="G93" s="100"/>
      <c r="H93" s="100"/>
      <c r="I93" s="100"/>
      <c r="J93" s="100"/>
    </row>
    <row r="94" spans="1:10">
      <c r="A94" s="100"/>
      <c r="B94" s="100"/>
      <c r="C94" s="100"/>
      <c r="D94" s="100"/>
      <c r="E94" s="100"/>
      <c r="F94" s="100"/>
      <c r="G94" s="100"/>
      <c r="H94" s="100"/>
      <c r="I94" s="100"/>
      <c r="J94" s="100"/>
    </row>
    <row r="95" spans="1:10">
      <c r="A95" s="100"/>
      <c r="B95" s="100"/>
      <c r="C95" s="100"/>
      <c r="D95" s="100"/>
      <c r="E95" s="100"/>
      <c r="F95" s="100"/>
      <c r="G95" s="100"/>
      <c r="H95" s="100"/>
      <c r="I95" s="100"/>
      <c r="J95" s="100"/>
    </row>
    <row r="96" spans="1:10">
      <c r="A96" s="100"/>
      <c r="B96" s="100"/>
      <c r="C96" s="100"/>
      <c r="D96" s="100"/>
      <c r="E96" s="100"/>
      <c r="F96" s="100"/>
      <c r="G96" s="100"/>
      <c r="H96" s="100"/>
      <c r="I96" s="100"/>
      <c r="J96" s="100"/>
    </row>
    <row r="97" spans="1:10">
      <c r="A97" s="100"/>
      <c r="B97" s="100"/>
      <c r="C97" s="100"/>
      <c r="D97" s="100"/>
      <c r="E97" s="100"/>
      <c r="F97" s="100"/>
      <c r="G97" s="100"/>
      <c r="H97" s="100"/>
      <c r="I97" s="100"/>
      <c r="J97" s="100"/>
    </row>
    <row r="98" spans="1:10">
      <c r="A98" s="100"/>
      <c r="B98" s="100"/>
      <c r="C98" s="100"/>
      <c r="D98" s="100"/>
      <c r="E98" s="100"/>
      <c r="F98" s="100"/>
      <c r="G98" s="100"/>
      <c r="H98" s="100"/>
      <c r="I98" s="100"/>
      <c r="J98" s="100"/>
    </row>
    <row r="99" spans="1:10">
      <c r="A99" s="100"/>
      <c r="B99" s="100"/>
      <c r="C99" s="100"/>
      <c r="D99" s="100"/>
      <c r="E99" s="100"/>
      <c r="F99" s="100"/>
      <c r="G99" s="100"/>
      <c r="H99" s="100"/>
      <c r="I99" s="100"/>
      <c r="J99" s="100"/>
    </row>
    <row r="100" spans="1:10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</row>
    <row r="101" spans="1:10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</row>
    <row r="102" spans="1:10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</row>
    <row r="103" spans="1:10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</row>
    <row r="104" spans="1:10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</row>
    <row r="105" spans="1:10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</row>
    <row r="106" spans="1:10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</row>
    <row r="107" spans="1:10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</row>
    <row r="108" spans="1:10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</row>
    <row r="109" spans="1:10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</row>
    <row r="110" spans="1:10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</row>
    <row r="111" spans="1:10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</row>
    <row r="112" spans="1:10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</row>
    <row r="113" spans="1:10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</row>
    <row r="114" spans="1:10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</row>
    <row r="115" spans="1:10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</row>
    <row r="116" spans="1:10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</row>
    <row r="117" spans="1:10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</row>
    <row r="118" spans="1:10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</row>
    <row r="119" spans="1:10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</row>
    <row r="120" spans="1:10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</row>
    <row r="121" spans="1:10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</row>
    <row r="122" spans="1:10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</row>
    <row r="123" spans="1:10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</row>
    <row r="124" spans="1:10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</row>
    <row r="125" spans="1:10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</row>
    <row r="126" spans="1:10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</row>
    <row r="127" spans="1:10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</row>
    <row r="128" spans="1:10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</row>
    <row r="129" spans="1:10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</row>
  </sheetData>
  <mergeCells count="103">
    <mergeCell ref="E43:F43"/>
    <mergeCell ref="C44:D44"/>
    <mergeCell ref="C46:D46"/>
    <mergeCell ref="E46:F46"/>
    <mergeCell ref="D13:E13"/>
    <mergeCell ref="D14:E14"/>
    <mergeCell ref="D15:E15"/>
    <mergeCell ref="F35:G35"/>
    <mergeCell ref="D36:E36"/>
    <mergeCell ref="F36:G36"/>
    <mergeCell ref="F15:G15"/>
    <mergeCell ref="D34:E34"/>
    <mergeCell ref="F34:G34"/>
    <mergeCell ref="D32:E32"/>
    <mergeCell ref="D33:E33"/>
    <mergeCell ref="D29:E29"/>
    <mergeCell ref="D30:E30"/>
    <mergeCell ref="D31:E31"/>
    <mergeCell ref="D25:E25"/>
    <mergeCell ref="D26:E26"/>
    <mergeCell ref="D27:E27"/>
    <mergeCell ref="H34:J34"/>
    <mergeCell ref="F26:G26"/>
    <mergeCell ref="F32:G32"/>
    <mergeCell ref="F33:G33"/>
    <mergeCell ref="H28:J28"/>
    <mergeCell ref="F27:G27"/>
    <mergeCell ref="F28:G28"/>
    <mergeCell ref="H27:J27"/>
    <mergeCell ref="F29:G29"/>
    <mergeCell ref="F31:G31"/>
    <mergeCell ref="F30:G30"/>
    <mergeCell ref="H29:J29"/>
    <mergeCell ref="H30:J30"/>
    <mergeCell ref="H31:J31"/>
    <mergeCell ref="H32:J32"/>
    <mergeCell ref="H23:J23"/>
    <mergeCell ref="H24:J24"/>
    <mergeCell ref="D16:E16"/>
    <mergeCell ref="D28:E28"/>
    <mergeCell ref="H25:J25"/>
    <mergeCell ref="H26:J26"/>
    <mergeCell ref="F16:G16"/>
    <mergeCell ref="F20:G20"/>
    <mergeCell ref="F21:G21"/>
    <mergeCell ref="F22:G22"/>
    <mergeCell ref="F23:G23"/>
    <mergeCell ref="F24:G24"/>
    <mergeCell ref="D17:E17"/>
    <mergeCell ref="D18:E18"/>
    <mergeCell ref="D19:E19"/>
    <mergeCell ref="D20:E20"/>
    <mergeCell ref="D21:E21"/>
    <mergeCell ref="D22:E22"/>
    <mergeCell ref="D23:E23"/>
    <mergeCell ref="H36:J36"/>
    <mergeCell ref="D35:E35"/>
    <mergeCell ref="G66:H66"/>
    <mergeCell ref="C53:E53"/>
    <mergeCell ref="F53:G53"/>
    <mergeCell ref="C54:E54"/>
    <mergeCell ref="C55:E55"/>
    <mergeCell ref="E66:F66"/>
    <mergeCell ref="F57:G57"/>
    <mergeCell ref="E64:H64"/>
    <mergeCell ref="F54:G54"/>
    <mergeCell ref="F55:G55"/>
    <mergeCell ref="E49:F49"/>
    <mergeCell ref="E48:F48"/>
    <mergeCell ref="E45:F45"/>
    <mergeCell ref="E44:F44"/>
    <mergeCell ref="E47:F47"/>
    <mergeCell ref="C48:D48"/>
    <mergeCell ref="D39:E39"/>
    <mergeCell ref="C45:D45"/>
    <mergeCell ref="C47:D47"/>
    <mergeCell ref="F37:G37"/>
    <mergeCell ref="H35:J35"/>
    <mergeCell ref="C43:D43"/>
    <mergeCell ref="E7:H7"/>
    <mergeCell ref="H33:J33"/>
    <mergeCell ref="F14:G14"/>
    <mergeCell ref="H17:J17"/>
    <mergeCell ref="H18:J18"/>
    <mergeCell ref="H19:J19"/>
    <mergeCell ref="H20:J20"/>
    <mergeCell ref="H21:J21"/>
    <mergeCell ref="H22:J22"/>
    <mergeCell ref="F25:G25"/>
    <mergeCell ref="D10:E10"/>
    <mergeCell ref="F10:G10"/>
    <mergeCell ref="H10:J10"/>
    <mergeCell ref="D11:E11"/>
    <mergeCell ref="F11:G11"/>
    <mergeCell ref="D12:E12"/>
    <mergeCell ref="F12:G12"/>
    <mergeCell ref="F13:G13"/>
    <mergeCell ref="F17:G17"/>
    <mergeCell ref="F18:G18"/>
    <mergeCell ref="F19:G19"/>
    <mergeCell ref="H15:J15"/>
    <mergeCell ref="H16:J16"/>
    <mergeCell ref="D24:E24"/>
  </mergeCells>
  <phoneticPr fontId="0" type="noConversion"/>
  <pageMargins left="0.59055118110236227" right="0.75" top="1" bottom="1" header="0" footer="0"/>
  <pageSetup paperSize="9" scale="59" orientation="portrait" r:id="rId1"/>
  <headerFooter alignWithMargins="0"/>
  <rowBreaks count="1" manualBreakCount="1">
    <brk id="86" max="9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43"/>
  <sheetViews>
    <sheetView showGridLines="0" topLeftCell="A37" zoomScaleNormal="100" zoomScaleSheetLayoutView="75" workbookViewId="0">
      <selection activeCell="C49" sqref="C49:D49"/>
    </sheetView>
  </sheetViews>
  <sheetFormatPr defaultColWidth="9.140625" defaultRowHeight="12"/>
  <cols>
    <col min="1" max="2" width="4.28515625" style="199" customWidth="1"/>
    <col min="3" max="10" width="12.42578125" style="199" customWidth="1"/>
    <col min="11" max="256" width="11.42578125" style="199" customWidth="1"/>
    <col min="257" max="16384" width="9.140625" style="199"/>
  </cols>
  <sheetData>
    <row r="1" spans="1:10">
      <c r="A1" s="100"/>
      <c r="B1" s="100"/>
      <c r="C1" s="152"/>
      <c r="D1" s="152"/>
      <c r="E1" s="152"/>
      <c r="F1" s="152"/>
      <c r="G1" s="152"/>
      <c r="H1" s="152"/>
      <c r="I1" s="152"/>
      <c r="J1" s="152"/>
    </row>
    <row r="2" spans="1:10">
      <c r="A2" s="153"/>
      <c r="B2" s="153"/>
      <c r="C2" s="100"/>
      <c r="D2" s="100"/>
      <c r="E2" s="100"/>
      <c r="F2" s="100"/>
      <c r="G2" s="100"/>
      <c r="H2" s="100"/>
      <c r="I2" s="100"/>
      <c r="J2" s="100"/>
    </row>
    <row r="3" spans="1:10">
      <c r="A3" s="153"/>
      <c r="B3" s="153"/>
      <c r="C3" s="100"/>
      <c r="D3" s="100"/>
      <c r="E3" s="100"/>
      <c r="F3" s="100"/>
      <c r="G3" s="100"/>
      <c r="H3" s="100"/>
      <c r="I3" s="100"/>
      <c r="J3" s="100"/>
    </row>
    <row r="4" spans="1:10">
      <c r="A4" s="210"/>
      <c r="B4" s="210"/>
      <c r="C4" s="100"/>
      <c r="D4" s="100"/>
      <c r="E4" s="100"/>
      <c r="F4" s="100"/>
      <c r="G4" s="100"/>
      <c r="H4" s="100"/>
      <c r="I4" s="100"/>
      <c r="J4" s="100"/>
    </row>
    <row r="5" spans="1:10">
      <c r="A5" s="153"/>
      <c r="B5" s="153"/>
      <c r="C5" s="100"/>
      <c r="D5" s="100"/>
      <c r="E5" s="100"/>
      <c r="F5" s="100"/>
      <c r="G5" s="100"/>
      <c r="H5" s="100"/>
      <c r="I5" s="100"/>
      <c r="J5" s="100"/>
    </row>
    <row r="6" spans="1:10">
      <c r="A6" s="210"/>
      <c r="B6" s="210"/>
      <c r="C6" s="100"/>
      <c r="D6" s="100"/>
      <c r="E6" s="100"/>
      <c r="F6" s="100"/>
      <c r="G6" s="100"/>
      <c r="H6" s="100"/>
      <c r="I6" s="100"/>
      <c r="J6" s="100"/>
    </row>
    <row r="7" spans="1:10" ht="18.75">
      <c r="A7" s="210"/>
      <c r="B7" s="210"/>
      <c r="C7" s="100"/>
      <c r="D7" s="100"/>
      <c r="E7" s="272" t="s">
        <v>1</v>
      </c>
      <c r="F7" s="272"/>
      <c r="G7" s="272"/>
      <c r="H7" s="272"/>
      <c r="I7" s="186" t="s">
        <v>69</v>
      </c>
      <c r="J7" s="187">
        <f>CARÁT!$F$16</f>
        <v>2023</v>
      </c>
    </row>
    <row r="8" spans="1:10">
      <c r="A8" s="210"/>
      <c r="B8" s="210"/>
      <c r="C8" s="100"/>
      <c r="D8" s="100"/>
    </row>
    <row r="9" spans="1:10">
      <c r="A9" s="153"/>
      <c r="B9" s="100"/>
      <c r="C9" s="152"/>
      <c r="D9" s="152"/>
      <c r="E9" s="100"/>
      <c r="F9" s="152"/>
      <c r="G9" s="152"/>
      <c r="H9" s="152"/>
      <c r="I9" s="100"/>
      <c r="J9" s="100"/>
    </row>
    <row r="10" spans="1:10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311"/>
      <c r="H10" s="311" t="s">
        <v>7</v>
      </c>
      <c r="I10" s="312"/>
      <c r="J10" s="286"/>
    </row>
    <row r="11" spans="1:10">
      <c r="A11" s="153"/>
      <c r="B11" s="95">
        <v>62</v>
      </c>
      <c r="C11" s="156">
        <v>45231</v>
      </c>
      <c r="D11" s="273" t="s">
        <v>59</v>
      </c>
      <c r="E11" s="273"/>
      <c r="F11" s="309">
        <v>49920</v>
      </c>
      <c r="G11" s="309"/>
      <c r="H11" s="157" t="s">
        <v>9</v>
      </c>
      <c r="I11" s="157"/>
      <c r="J11" s="157"/>
    </row>
    <row r="12" spans="1:10">
      <c r="A12" s="153"/>
      <c r="B12" s="95">
        <v>63</v>
      </c>
      <c r="C12" s="156">
        <v>45235</v>
      </c>
      <c r="D12" s="327" t="s">
        <v>36</v>
      </c>
      <c r="E12" s="327"/>
      <c r="F12" s="275">
        <v>65820</v>
      </c>
      <c r="G12" s="275"/>
      <c r="H12" s="157" t="s">
        <v>9</v>
      </c>
      <c r="I12" s="157"/>
      <c r="J12" s="157"/>
    </row>
    <row r="13" spans="1:10">
      <c r="A13" s="153"/>
      <c r="B13" s="95">
        <v>64</v>
      </c>
      <c r="C13" s="156">
        <v>45234</v>
      </c>
      <c r="D13" s="327" t="s">
        <v>42</v>
      </c>
      <c r="E13" s="327"/>
      <c r="F13" s="275">
        <v>57540</v>
      </c>
      <c r="G13" s="275"/>
      <c r="H13" s="157" t="s">
        <v>9</v>
      </c>
      <c r="I13" s="157"/>
      <c r="J13" s="157"/>
    </row>
    <row r="14" spans="1:10">
      <c r="A14" s="153"/>
      <c r="B14" s="95">
        <v>65</v>
      </c>
      <c r="C14" s="156">
        <v>45237</v>
      </c>
      <c r="D14" s="327" t="s">
        <v>59</v>
      </c>
      <c r="E14" s="327"/>
      <c r="F14" s="275">
        <v>53670</v>
      </c>
      <c r="G14" s="275"/>
      <c r="H14" s="157" t="s">
        <v>9</v>
      </c>
      <c r="I14" s="157"/>
      <c r="J14" s="157"/>
    </row>
    <row r="15" spans="1:10">
      <c r="A15" s="153"/>
      <c r="B15" s="95">
        <v>66</v>
      </c>
      <c r="C15" s="156">
        <v>45239</v>
      </c>
      <c r="D15" s="327" t="s">
        <v>36</v>
      </c>
      <c r="E15" s="327"/>
      <c r="F15" s="275">
        <v>65730</v>
      </c>
      <c r="G15" s="275"/>
      <c r="H15" s="157" t="s">
        <v>9</v>
      </c>
      <c r="I15" s="157"/>
      <c r="J15" s="157"/>
    </row>
    <row r="16" spans="1:10">
      <c r="A16" s="153"/>
      <c r="B16" s="95">
        <v>67</v>
      </c>
      <c r="C16" s="156">
        <v>45240</v>
      </c>
      <c r="D16" s="273" t="s">
        <v>42</v>
      </c>
      <c r="E16" s="273"/>
      <c r="F16" s="275">
        <v>62910</v>
      </c>
      <c r="G16" s="275"/>
      <c r="H16" s="157" t="s">
        <v>9</v>
      </c>
      <c r="I16" s="157"/>
      <c r="J16" s="157"/>
    </row>
    <row r="17" spans="1:10">
      <c r="A17" s="153"/>
      <c r="B17" s="95">
        <v>68</v>
      </c>
      <c r="C17" s="156">
        <v>45241</v>
      </c>
      <c r="D17" s="327" t="s">
        <v>59</v>
      </c>
      <c r="E17" s="327"/>
      <c r="F17" s="275">
        <v>34620</v>
      </c>
      <c r="G17" s="275"/>
      <c r="H17" s="157" t="s">
        <v>9</v>
      </c>
      <c r="I17" s="157"/>
      <c r="J17" s="157"/>
    </row>
    <row r="18" spans="1:10">
      <c r="A18" s="153"/>
      <c r="B18" s="95">
        <v>70</v>
      </c>
      <c r="C18" s="156">
        <v>45246</v>
      </c>
      <c r="D18" s="273" t="s">
        <v>42</v>
      </c>
      <c r="E18" s="273"/>
      <c r="F18" s="275">
        <v>62550</v>
      </c>
      <c r="G18" s="275"/>
      <c r="H18" s="157" t="s">
        <v>9</v>
      </c>
      <c r="I18" s="157"/>
      <c r="J18" s="157"/>
    </row>
    <row r="19" spans="1:10">
      <c r="A19" s="153"/>
      <c r="B19" s="95">
        <v>71</v>
      </c>
      <c r="C19" s="156">
        <v>45253</v>
      </c>
      <c r="D19" s="273" t="s">
        <v>42</v>
      </c>
      <c r="E19" s="273"/>
      <c r="F19" s="275">
        <v>62850</v>
      </c>
      <c r="G19" s="275"/>
      <c r="H19" s="157" t="s">
        <v>9</v>
      </c>
      <c r="I19" s="157"/>
      <c r="J19" s="157"/>
    </row>
    <row r="20" spans="1:10">
      <c r="A20" s="153"/>
      <c r="B20" s="95">
        <v>72</v>
      </c>
      <c r="C20" s="156">
        <v>45253</v>
      </c>
      <c r="D20" s="273" t="s">
        <v>8</v>
      </c>
      <c r="E20" s="273"/>
      <c r="F20" s="275">
        <v>64230</v>
      </c>
      <c r="G20" s="275"/>
      <c r="H20" s="157" t="s">
        <v>9</v>
      </c>
      <c r="I20" s="157"/>
      <c r="J20" s="157"/>
    </row>
    <row r="21" spans="1:10">
      <c r="A21" s="153"/>
      <c r="B21" s="95">
        <v>73</v>
      </c>
      <c r="C21" s="156">
        <v>45254</v>
      </c>
      <c r="D21" s="273" t="s">
        <v>36</v>
      </c>
      <c r="E21" s="273"/>
      <c r="F21" s="275">
        <v>67080</v>
      </c>
      <c r="G21" s="275"/>
      <c r="H21" s="157" t="s">
        <v>9</v>
      </c>
      <c r="I21" s="157"/>
      <c r="J21" s="157"/>
    </row>
    <row r="22" spans="1:10">
      <c r="A22" s="153"/>
      <c r="B22" s="95">
        <v>74</v>
      </c>
      <c r="C22" s="156">
        <v>45259</v>
      </c>
      <c r="D22" s="273" t="s">
        <v>42</v>
      </c>
      <c r="E22" s="273"/>
      <c r="F22" s="275">
        <v>60270</v>
      </c>
      <c r="G22" s="275"/>
      <c r="H22" s="157" t="s">
        <v>9</v>
      </c>
      <c r="I22" s="157"/>
      <c r="J22" s="157"/>
    </row>
    <row r="23" spans="1:10">
      <c r="A23" s="153"/>
      <c r="B23" s="95">
        <v>75</v>
      </c>
      <c r="C23" s="156">
        <v>45260</v>
      </c>
      <c r="D23" s="273" t="s">
        <v>8</v>
      </c>
      <c r="E23" s="273"/>
      <c r="F23" s="275">
        <v>68130</v>
      </c>
      <c r="G23" s="275"/>
      <c r="H23" s="157" t="s">
        <v>9</v>
      </c>
      <c r="I23" s="157"/>
      <c r="J23" s="157"/>
    </row>
    <row r="24" spans="1:10">
      <c r="A24" s="153"/>
      <c r="B24" s="153"/>
      <c r="C24" s="156"/>
      <c r="D24" s="273"/>
      <c r="E24" s="273"/>
      <c r="F24" s="274"/>
      <c r="G24" s="274"/>
      <c r="H24" s="273"/>
      <c r="I24" s="273"/>
      <c r="J24" s="273"/>
    </row>
    <row r="25" spans="1:10">
      <c r="A25" s="153"/>
      <c r="B25" s="153"/>
      <c r="C25" s="156"/>
      <c r="D25" s="273"/>
      <c r="E25" s="273"/>
      <c r="F25" s="274"/>
      <c r="G25" s="274"/>
      <c r="H25" s="273"/>
      <c r="I25" s="273"/>
      <c r="J25" s="273"/>
    </row>
    <row r="26" spans="1:10">
      <c r="A26" s="153"/>
      <c r="B26" s="153"/>
      <c r="C26" s="156"/>
      <c r="D26" s="273"/>
      <c r="E26" s="273"/>
      <c r="F26" s="274"/>
      <c r="G26" s="274"/>
      <c r="H26" s="273"/>
      <c r="I26" s="273"/>
      <c r="J26" s="273"/>
    </row>
    <row r="27" spans="1:10">
      <c r="A27" s="153"/>
      <c r="B27" s="153"/>
      <c r="C27" s="156"/>
      <c r="D27" s="273"/>
      <c r="E27" s="273"/>
      <c r="F27" s="274"/>
      <c r="G27" s="274"/>
      <c r="H27" s="273"/>
      <c r="I27" s="273"/>
      <c r="J27" s="273"/>
    </row>
    <row r="28" spans="1:10">
      <c r="A28" s="153"/>
      <c r="B28" s="153"/>
      <c r="C28" s="156"/>
      <c r="D28" s="273"/>
      <c r="E28" s="273"/>
      <c r="F28" s="274"/>
      <c r="G28" s="274"/>
      <c r="H28" s="273"/>
      <c r="I28" s="273"/>
      <c r="J28" s="273"/>
    </row>
    <row r="29" spans="1:10">
      <c r="A29" s="153"/>
      <c r="B29" s="153"/>
      <c r="C29" s="156"/>
      <c r="D29" s="273"/>
      <c r="E29" s="273"/>
      <c r="F29" s="274"/>
      <c r="G29" s="274"/>
      <c r="H29" s="273"/>
      <c r="I29" s="273"/>
      <c r="J29" s="273"/>
    </row>
    <row r="30" spans="1:10">
      <c r="A30" s="153"/>
      <c r="B30" s="153"/>
      <c r="C30" s="156"/>
      <c r="D30" s="273"/>
      <c r="E30" s="273"/>
      <c r="F30" s="274"/>
      <c r="G30" s="274"/>
      <c r="H30" s="273"/>
      <c r="I30" s="273"/>
      <c r="J30" s="273"/>
    </row>
    <row r="31" spans="1:10">
      <c r="A31" s="153"/>
      <c r="B31" s="153"/>
      <c r="C31" s="156"/>
      <c r="D31" s="273"/>
      <c r="E31" s="273"/>
      <c r="F31" s="274"/>
      <c r="G31" s="274"/>
      <c r="H31" s="310"/>
      <c r="I31" s="310"/>
      <c r="J31" s="153"/>
    </row>
    <row r="32" spans="1:10">
      <c r="A32" s="153"/>
      <c r="B32" s="153"/>
      <c r="C32" s="156"/>
      <c r="D32" s="273"/>
      <c r="E32" s="273"/>
      <c r="F32" s="274"/>
      <c r="G32" s="274"/>
      <c r="H32" s="310"/>
      <c r="I32" s="310"/>
      <c r="J32" s="153"/>
    </row>
    <row r="33" spans="1:10">
      <c r="A33" s="153"/>
      <c r="B33" s="153"/>
      <c r="C33" s="156"/>
      <c r="D33" s="273"/>
      <c r="E33" s="273"/>
      <c r="F33" s="274"/>
      <c r="G33" s="274"/>
      <c r="H33" s="310"/>
      <c r="I33" s="310"/>
      <c r="J33" s="153"/>
    </row>
    <row r="34" spans="1:10">
      <c r="A34" s="153"/>
      <c r="B34" s="153"/>
      <c r="C34" s="156"/>
      <c r="D34" s="273"/>
      <c r="E34" s="273"/>
      <c r="F34" s="274"/>
      <c r="G34" s="274"/>
      <c r="H34" s="310"/>
      <c r="I34" s="310"/>
      <c r="J34" s="153"/>
    </row>
    <row r="35" spans="1:10">
      <c r="A35" s="153"/>
      <c r="B35" s="153"/>
      <c r="C35" s="156"/>
      <c r="D35" s="273"/>
      <c r="E35" s="273"/>
      <c r="F35" s="274"/>
      <c r="G35" s="274"/>
      <c r="H35" s="310"/>
      <c r="I35" s="310"/>
      <c r="J35" s="153"/>
    </row>
    <row r="36" spans="1:10">
      <c r="A36" s="153"/>
      <c r="B36" s="153"/>
      <c r="C36" s="156"/>
      <c r="D36" s="153"/>
      <c r="E36" s="153"/>
      <c r="F36" s="158"/>
      <c r="G36" s="158"/>
      <c r="H36" s="244"/>
      <c r="I36" s="244"/>
      <c r="J36" s="153"/>
    </row>
    <row r="37" spans="1:10">
      <c r="A37" s="153"/>
      <c r="B37" s="153"/>
      <c r="C37" s="156"/>
      <c r="D37" s="273"/>
      <c r="E37" s="273"/>
      <c r="F37" s="274"/>
      <c r="G37" s="274"/>
      <c r="H37" s="310"/>
      <c r="I37" s="310"/>
      <c r="J37" s="153"/>
    </row>
    <row r="38" spans="1:10">
      <c r="A38" s="153"/>
      <c r="B38" s="153"/>
      <c r="C38" s="156"/>
      <c r="D38" s="153"/>
      <c r="E38" s="153"/>
      <c r="F38" s="182"/>
      <c r="G38" s="182"/>
      <c r="H38" s="153"/>
      <c r="I38" s="153"/>
      <c r="J38" s="153"/>
    </row>
    <row r="39" spans="1:10">
      <c r="A39" s="153"/>
      <c r="B39" s="153"/>
      <c r="C39" s="159"/>
      <c r="D39" s="160"/>
      <c r="E39" s="160"/>
      <c r="F39" s="293">
        <f>SUM(F11:G37)</f>
        <v>775320</v>
      </c>
      <c r="G39" s="294"/>
      <c r="H39" s="95"/>
      <c r="I39" s="95"/>
      <c r="J39" s="95"/>
    </row>
    <row r="40" spans="1:10">
      <c r="A40" s="153"/>
      <c r="B40" s="153"/>
      <c r="C40" s="100"/>
      <c r="D40" s="100"/>
      <c r="E40" s="161"/>
      <c r="F40" s="100"/>
      <c r="G40" s="100"/>
      <c r="H40" s="100"/>
      <c r="I40" s="100"/>
      <c r="J40" s="100"/>
    </row>
    <row r="41" spans="1:10">
      <c r="A41" s="153"/>
      <c r="B41" s="153"/>
      <c r="C41" s="100"/>
      <c r="D41" s="289" t="s">
        <v>10</v>
      </c>
      <c r="E41" s="289"/>
      <c r="F41" s="100"/>
      <c r="G41" s="162">
        <f>F39/1000</f>
        <v>775.32</v>
      </c>
      <c r="H41" s="100"/>
      <c r="I41" s="100"/>
      <c r="J41" s="100"/>
    </row>
    <row r="42" spans="1:10">
      <c r="A42" s="153"/>
      <c r="B42" s="153"/>
      <c r="C42" s="100"/>
      <c r="D42" s="100"/>
      <c r="E42" s="161"/>
      <c r="F42" s="100"/>
      <c r="G42" s="100"/>
      <c r="H42" s="100"/>
      <c r="I42" s="100"/>
      <c r="J42" s="100"/>
    </row>
    <row r="43" spans="1:10">
      <c r="A43" s="153"/>
      <c r="B43" s="153"/>
      <c r="C43" s="100"/>
      <c r="D43" s="100"/>
      <c r="E43" s="100"/>
      <c r="F43" s="100"/>
      <c r="G43" s="100"/>
      <c r="H43" s="100"/>
      <c r="I43" s="100"/>
      <c r="J43" s="100"/>
    </row>
    <row r="44" spans="1:10">
      <c r="A44" s="153"/>
      <c r="B44" s="153"/>
      <c r="C44" s="287" t="s">
        <v>11</v>
      </c>
      <c r="D44" s="287"/>
      <c r="E44" s="287" t="s">
        <v>12</v>
      </c>
      <c r="F44" s="287"/>
      <c r="G44" s="154" t="s">
        <v>13</v>
      </c>
      <c r="H44" s="154" t="s">
        <v>14</v>
      </c>
      <c r="I44" s="100"/>
      <c r="J44" s="100"/>
    </row>
    <row r="45" spans="1:10">
      <c r="A45" s="153"/>
      <c r="B45" s="153"/>
      <c r="C45" s="295" t="s">
        <v>33</v>
      </c>
      <c r="D45" s="295"/>
      <c r="E45" s="328"/>
      <c r="F45" s="328"/>
      <c r="G45" s="163">
        <f>+E45/E51</f>
        <v>0</v>
      </c>
      <c r="H45" s="164"/>
      <c r="I45" s="100"/>
      <c r="J45" s="100"/>
    </row>
    <row r="46" spans="1:10">
      <c r="A46" s="153"/>
      <c r="B46" s="153"/>
      <c r="C46" s="273" t="s">
        <v>54</v>
      </c>
      <c r="D46" s="273"/>
      <c r="E46" s="328">
        <f>F20+F23</f>
        <v>132360</v>
      </c>
      <c r="F46" s="328"/>
      <c r="G46" s="163">
        <f>+E46/E51</f>
        <v>0.17071660733632565</v>
      </c>
      <c r="H46" s="164">
        <v>2</v>
      </c>
      <c r="I46" s="100"/>
      <c r="J46" s="100"/>
    </row>
    <row r="47" spans="1:10">
      <c r="A47" s="153"/>
      <c r="B47" s="153"/>
      <c r="C47" s="273" t="s">
        <v>65</v>
      </c>
      <c r="D47" s="273"/>
      <c r="E47" s="328"/>
      <c r="F47" s="328"/>
      <c r="G47" s="163">
        <f>+E47/E51</f>
        <v>0</v>
      </c>
      <c r="H47" s="164"/>
      <c r="I47" s="100"/>
      <c r="J47" s="100"/>
    </row>
    <row r="48" spans="1:10">
      <c r="A48" s="153"/>
      <c r="B48" s="153"/>
      <c r="C48" s="157" t="s">
        <v>70</v>
      </c>
      <c r="D48" s="157"/>
      <c r="E48" s="257"/>
      <c r="F48" s="257"/>
      <c r="G48" s="163">
        <f>F48/E51</f>
        <v>0</v>
      </c>
      <c r="H48" s="164"/>
      <c r="I48" s="100"/>
      <c r="J48" s="100"/>
    </row>
    <row r="49" spans="1:10">
      <c r="A49" s="153"/>
      <c r="B49" s="153"/>
      <c r="C49" s="273" t="s">
        <v>37</v>
      </c>
      <c r="D49" s="273"/>
      <c r="E49" s="274">
        <f>F11+F12+F13+F14+F15+F16+F17+F18+F19+F21+F22</f>
        <v>642960</v>
      </c>
      <c r="F49" s="274"/>
      <c r="G49" s="163">
        <f>+E49/E51</f>
        <v>0.82928339266367435</v>
      </c>
      <c r="H49" s="164">
        <v>11</v>
      </c>
      <c r="I49" s="100"/>
      <c r="J49" s="100"/>
    </row>
    <row r="50" spans="1:10">
      <c r="A50" s="153"/>
      <c r="B50" s="153"/>
      <c r="C50" s="273" t="s">
        <v>16</v>
      </c>
      <c r="D50" s="273"/>
      <c r="E50" s="274"/>
      <c r="F50" s="274"/>
      <c r="G50" s="163">
        <f>+E50/E51</f>
        <v>0</v>
      </c>
      <c r="H50" s="164"/>
      <c r="I50" s="100"/>
      <c r="J50" s="100"/>
    </row>
    <row r="51" spans="1:10">
      <c r="A51" s="153"/>
      <c r="B51" s="153"/>
      <c r="C51" s="165"/>
      <c r="D51" s="166" t="s">
        <v>20</v>
      </c>
      <c r="E51" s="329">
        <f>SUM(E45:F50)</f>
        <v>775320</v>
      </c>
      <c r="F51" s="329"/>
      <c r="G51" s="167">
        <f>SUM(G45:G50)</f>
        <v>1</v>
      </c>
      <c r="H51" s="168">
        <f>SUM(H45:H50)</f>
        <v>13</v>
      </c>
      <c r="I51" s="100"/>
      <c r="J51" s="100"/>
    </row>
    <row r="52" spans="1:10">
      <c r="A52" s="153"/>
      <c r="B52" s="153"/>
      <c r="C52" s="169"/>
      <c r="D52" s="169"/>
      <c r="E52" s="160"/>
      <c r="F52" s="160"/>
      <c r="G52" s="160"/>
      <c r="H52" s="100"/>
      <c r="I52" s="100"/>
      <c r="J52" s="100"/>
    </row>
    <row r="53" spans="1:10">
      <c r="A53" s="153"/>
      <c r="B53" s="153"/>
      <c r="C53" s="100"/>
      <c r="D53" s="100"/>
      <c r="E53" s="96"/>
      <c r="F53" s="171"/>
      <c r="G53" s="172"/>
      <c r="H53" s="100"/>
      <c r="I53" s="100"/>
      <c r="J53" s="100"/>
    </row>
    <row r="54" spans="1:10">
      <c r="A54" s="153"/>
      <c r="B54" s="153"/>
      <c r="C54" s="170"/>
      <c r="D54" s="100"/>
      <c r="E54" s="96"/>
      <c r="F54" s="171"/>
      <c r="G54" s="172"/>
      <c r="H54" s="100"/>
      <c r="I54" s="100"/>
      <c r="J54" s="100"/>
    </row>
    <row r="55" spans="1:10">
      <c r="A55" s="153"/>
      <c r="B55" s="153"/>
      <c r="C55" s="283" t="s">
        <v>7</v>
      </c>
      <c r="D55" s="284"/>
      <c r="E55" s="285"/>
      <c r="F55" s="286" t="s">
        <v>6</v>
      </c>
      <c r="G55" s="287"/>
      <c r="H55" s="154" t="s">
        <v>13</v>
      </c>
      <c r="I55" s="100"/>
      <c r="J55" s="100"/>
    </row>
    <row r="56" spans="1:10">
      <c r="A56" s="153"/>
      <c r="B56" s="153"/>
      <c r="C56" s="273" t="s">
        <v>21</v>
      </c>
      <c r="D56" s="273"/>
      <c r="E56" s="273"/>
      <c r="F56" s="282"/>
      <c r="G56" s="282"/>
      <c r="H56" s="163">
        <f>+F56/F59</f>
        <v>0</v>
      </c>
      <c r="I56" s="100"/>
      <c r="J56" s="100"/>
    </row>
    <row r="57" spans="1:10">
      <c r="A57" s="153"/>
      <c r="B57" s="153"/>
      <c r="C57" s="273" t="s">
        <v>22</v>
      </c>
      <c r="D57" s="273"/>
      <c r="E57" s="273"/>
      <c r="F57" s="274">
        <f>F39</f>
        <v>775320</v>
      </c>
      <c r="G57" s="274"/>
      <c r="H57" s="163">
        <f>+F57/F59</f>
        <v>1</v>
      </c>
      <c r="I57" s="100"/>
      <c r="J57" s="100"/>
    </row>
    <row r="58" spans="1:10">
      <c r="A58" s="153"/>
      <c r="B58" s="153"/>
      <c r="C58" s="100"/>
      <c r="D58" s="100"/>
      <c r="E58" s="100"/>
      <c r="F58" s="158"/>
      <c r="G58" s="158"/>
      <c r="H58" s="163"/>
      <c r="I58" s="100"/>
      <c r="J58" s="100"/>
    </row>
    <row r="59" spans="1:10">
      <c r="A59" s="153"/>
      <c r="B59" s="153"/>
      <c r="C59" s="100"/>
      <c r="D59" s="100" t="s">
        <v>20</v>
      </c>
      <c r="E59" s="100"/>
      <c r="F59" s="278">
        <f>SUM(F56:G58)</f>
        <v>775320</v>
      </c>
      <c r="G59" s="278"/>
      <c r="H59" s="167">
        <f>SUM(H56:H58)</f>
        <v>1</v>
      </c>
      <c r="I59" s="100"/>
      <c r="J59" s="100"/>
    </row>
    <row r="60" spans="1:10">
      <c r="A60" s="153"/>
      <c r="B60" s="153"/>
      <c r="C60" s="100"/>
      <c r="D60" s="100"/>
      <c r="E60" s="100"/>
      <c r="F60" s="184"/>
      <c r="G60" s="184"/>
      <c r="H60" s="185"/>
      <c r="I60" s="100"/>
      <c r="J60" s="100"/>
    </row>
    <row r="61" spans="1:10">
      <c r="A61" s="153"/>
      <c r="B61" s="153"/>
      <c r="C61" s="100"/>
      <c r="D61" s="96"/>
      <c r="E61" s="211"/>
      <c r="F61" s="100"/>
      <c r="G61" s="100"/>
      <c r="H61" s="100"/>
      <c r="I61" s="100"/>
      <c r="J61" s="100"/>
    </row>
    <row r="62" spans="1:10">
      <c r="A62" s="153"/>
      <c r="B62" s="153"/>
      <c r="C62" s="100"/>
      <c r="D62" s="100"/>
      <c r="E62" s="279" t="s">
        <v>23</v>
      </c>
      <c r="F62" s="279"/>
      <c r="G62" s="279"/>
      <c r="H62" s="279"/>
      <c r="I62" s="100"/>
      <c r="J62" s="100"/>
    </row>
    <row r="63" spans="1:10">
      <c r="A63" s="153"/>
      <c r="B63" s="153"/>
      <c r="C63" s="100"/>
      <c r="D63" s="212"/>
      <c r="E63" s="100"/>
      <c r="F63" s="100"/>
      <c r="G63" s="100"/>
      <c r="H63" s="100"/>
      <c r="I63" s="100"/>
      <c r="J63" s="100"/>
    </row>
    <row r="64" spans="1:10">
      <c r="A64" s="153"/>
      <c r="B64" s="100"/>
      <c r="C64" s="100"/>
      <c r="D64" s="213" t="s">
        <v>24</v>
      </c>
      <c r="E64" s="297" t="s">
        <v>25</v>
      </c>
      <c r="F64" s="298"/>
      <c r="G64" s="297" t="s">
        <v>26</v>
      </c>
      <c r="H64" s="298"/>
      <c r="I64" s="100"/>
      <c r="J64" s="100"/>
    </row>
    <row r="65" spans="1:10">
      <c r="A65" s="153"/>
      <c r="B65" s="100"/>
      <c r="C65" s="100"/>
      <c r="D65" s="214" t="s">
        <v>27</v>
      </c>
      <c r="E65" s="215" t="s">
        <v>28</v>
      </c>
      <c r="F65" s="215" t="s">
        <v>29</v>
      </c>
      <c r="G65" s="215" t="s">
        <v>28</v>
      </c>
      <c r="H65" s="215" t="s">
        <v>29</v>
      </c>
      <c r="I65" s="100"/>
      <c r="J65" s="100"/>
    </row>
    <row r="66" spans="1:10">
      <c r="A66" s="153"/>
      <c r="B66" s="100"/>
      <c r="C66" s="100"/>
      <c r="D66" s="190" t="s">
        <v>30</v>
      </c>
      <c r="E66" s="198">
        <f>Comparativo!AY13</f>
        <v>559.32000000000005</v>
      </c>
      <c r="F66" s="206">
        <f>Comparativo!AZ13</f>
        <v>15</v>
      </c>
      <c r="G66" s="250">
        <f>ENE!$G$46</f>
        <v>123.39</v>
      </c>
      <c r="H66" s="207">
        <f>ENE!$H$55</f>
        <v>4</v>
      </c>
      <c r="I66" s="100"/>
      <c r="J66" s="100"/>
    </row>
    <row r="67" spans="1:10">
      <c r="A67" s="153"/>
      <c r="B67" s="100"/>
      <c r="C67" s="100"/>
      <c r="D67" s="190" t="s">
        <v>34</v>
      </c>
      <c r="E67" s="220">
        <f>Comparativo!AY14</f>
        <v>437.76</v>
      </c>
      <c r="F67" s="219">
        <f>Comparativo!AZ14</f>
        <v>19</v>
      </c>
      <c r="G67" s="192">
        <f>FEB!$G$48</f>
        <v>176.79</v>
      </c>
      <c r="H67" s="191">
        <f>FEB!$H$57</f>
        <v>6</v>
      </c>
      <c r="I67" s="100"/>
      <c r="J67" s="100"/>
    </row>
    <row r="68" spans="1:10">
      <c r="A68" s="153"/>
      <c r="B68" s="100"/>
      <c r="C68" s="100"/>
      <c r="D68" s="197" t="s">
        <v>38</v>
      </c>
      <c r="E68" s="220">
        <f>Comparativo!AY15</f>
        <v>541.5</v>
      </c>
      <c r="F68" s="219">
        <f>Comparativo!AZ15</f>
        <v>15</v>
      </c>
      <c r="G68" s="192">
        <f>MAR!$G$43</f>
        <v>370.56</v>
      </c>
      <c r="H68" s="191">
        <f>MAR!$H$51</f>
        <v>11</v>
      </c>
      <c r="I68" s="100"/>
      <c r="J68" s="100"/>
    </row>
    <row r="69" spans="1:10">
      <c r="A69" s="153"/>
      <c r="B69" s="100"/>
      <c r="C69" s="100"/>
      <c r="D69" s="197" t="s">
        <v>44</v>
      </c>
      <c r="E69" s="220">
        <f>Comparativo!AY16</f>
        <v>509.58</v>
      </c>
      <c r="F69" s="219">
        <f>Comparativo!AZ16</f>
        <v>18</v>
      </c>
      <c r="G69" s="192">
        <f>ABR!$G$41</f>
        <v>201.99</v>
      </c>
      <c r="H69" s="191">
        <f>ABR!$H$50</f>
        <v>8</v>
      </c>
      <c r="I69" s="100"/>
      <c r="J69" s="100"/>
    </row>
    <row r="70" spans="1:10">
      <c r="A70" s="153"/>
      <c r="B70" s="100"/>
      <c r="C70" s="100"/>
      <c r="D70" s="190" t="s">
        <v>46</v>
      </c>
      <c r="E70" s="220">
        <f>Comparativo!AY17</f>
        <v>38.22</v>
      </c>
      <c r="F70" s="219">
        <f>Comparativo!AZ17</f>
        <v>2</v>
      </c>
      <c r="G70" s="220">
        <f>MAY!$G$44</f>
        <v>60.9</v>
      </c>
      <c r="H70" s="219">
        <f>MAY!$H$52</f>
        <v>2</v>
      </c>
      <c r="I70" s="100"/>
      <c r="J70" s="100"/>
    </row>
    <row r="71" spans="1:10">
      <c r="A71" s="153"/>
      <c r="B71" s="100"/>
      <c r="C71" s="100"/>
      <c r="D71" s="197" t="s">
        <v>48</v>
      </c>
      <c r="E71" s="220">
        <f>Comparativo!AY18</f>
        <v>136.56</v>
      </c>
      <c r="F71" s="219">
        <f>Comparativo!AZ18</f>
        <v>2</v>
      </c>
      <c r="G71" s="220">
        <f>JUN!$G$33</f>
        <v>0</v>
      </c>
      <c r="H71" s="219">
        <f>JUN!$H$42</f>
        <v>0</v>
      </c>
      <c r="I71" s="100"/>
      <c r="J71" s="100"/>
    </row>
    <row r="72" spans="1:10">
      <c r="A72" s="153"/>
      <c r="B72" s="100"/>
      <c r="C72" s="100"/>
      <c r="D72" s="197" t="s">
        <v>57</v>
      </c>
      <c r="E72" s="220">
        <f>Comparativo!AY20</f>
        <v>380.88</v>
      </c>
      <c r="F72" s="219">
        <f>Comparativo!AZ20</f>
        <v>6</v>
      </c>
      <c r="G72" s="220">
        <f>JUL!$G$33</f>
        <v>0</v>
      </c>
      <c r="H72" s="219">
        <f>JUL!$H$42</f>
        <v>0</v>
      </c>
      <c r="I72" s="100"/>
      <c r="J72" s="100"/>
    </row>
    <row r="73" spans="1:10">
      <c r="A73" s="153"/>
      <c r="B73" s="100"/>
      <c r="C73" s="100"/>
      <c r="D73" s="197" t="s">
        <v>62</v>
      </c>
      <c r="E73" s="220">
        <f>Comparativo!AY21</f>
        <v>807.75</v>
      </c>
      <c r="F73" s="219">
        <f>Comparativo!AZ21</f>
        <v>21</v>
      </c>
      <c r="G73" s="96">
        <f>AGO!$G$36</f>
        <v>132.38999999999999</v>
      </c>
      <c r="H73" s="219">
        <f>AGO!$H$47</f>
        <v>4</v>
      </c>
      <c r="I73" s="100"/>
      <c r="J73" s="100"/>
    </row>
    <row r="74" spans="1:10">
      <c r="A74" s="153"/>
      <c r="B74" s="100"/>
      <c r="C74" s="100"/>
      <c r="D74" s="197" t="s">
        <v>66</v>
      </c>
      <c r="E74" s="220">
        <f>Comparativo!AY22</f>
        <v>60.66</v>
      </c>
      <c r="F74" s="219">
        <f>Comparativo!AZ22</f>
        <v>3</v>
      </c>
      <c r="G74" s="96">
        <f>SEP!$G$43</f>
        <v>142.59</v>
      </c>
      <c r="H74" s="219">
        <f>SEP!$H$53</f>
        <v>3</v>
      </c>
      <c r="I74" s="100"/>
      <c r="J74" s="100"/>
    </row>
    <row r="75" spans="1:10">
      <c r="A75" s="153"/>
      <c r="B75" s="100"/>
      <c r="C75" s="100"/>
      <c r="D75" s="197" t="s">
        <v>68</v>
      </c>
      <c r="E75" s="220">
        <f>Comparativo!AY23</f>
        <v>230.07</v>
      </c>
      <c r="F75" s="219">
        <f>Comparativo!AZ23</f>
        <v>6</v>
      </c>
      <c r="G75" s="249">
        <f>OCT!$G$39</f>
        <v>218.52</v>
      </c>
      <c r="H75" s="221">
        <f>OCT!$H$49</f>
        <v>4</v>
      </c>
      <c r="I75" s="100"/>
      <c r="J75" s="100"/>
    </row>
    <row r="76" spans="1:10">
      <c r="A76" s="153"/>
      <c r="B76" s="100"/>
      <c r="C76" s="100"/>
      <c r="D76" s="193" t="s">
        <v>71</v>
      </c>
      <c r="E76" s="222">
        <f>Comparativo!AY24</f>
        <v>368.49</v>
      </c>
      <c r="F76" s="223">
        <f>Comparativo!AZ24</f>
        <v>10</v>
      </c>
      <c r="G76" s="230">
        <f>G41</f>
        <v>775.32</v>
      </c>
      <c r="H76" s="225">
        <f>H51</f>
        <v>13</v>
      </c>
      <c r="I76" s="100"/>
      <c r="J76" s="100"/>
    </row>
    <row r="77" spans="1:10">
      <c r="A77" s="153"/>
      <c r="B77" s="100"/>
      <c r="C77" s="100"/>
      <c r="D77" s="100"/>
      <c r="E77" s="100"/>
      <c r="F77" s="100"/>
      <c r="G77" s="100"/>
      <c r="H77" s="100"/>
      <c r="I77" s="100"/>
      <c r="J77" s="100"/>
    </row>
    <row r="78" spans="1:10">
      <c r="A78" s="153"/>
      <c r="B78" s="100"/>
      <c r="C78" s="100"/>
      <c r="D78" s="100"/>
      <c r="E78" s="179">
        <f>SUM(E66:E77)</f>
        <v>4070.79</v>
      </c>
      <c r="F78" s="180">
        <f>SUM(F66:F77)</f>
        <v>117</v>
      </c>
      <c r="G78" s="179">
        <f>SUM(G66:G76)</f>
        <v>2202.4499999999998</v>
      </c>
      <c r="H78" s="180">
        <f>SUM(H66:H76)</f>
        <v>55</v>
      </c>
      <c r="I78" s="100"/>
      <c r="J78" s="100"/>
    </row>
    <row r="79" spans="1:10">
      <c r="A79" s="100"/>
      <c r="B79" s="100"/>
      <c r="C79" s="100"/>
      <c r="D79" s="100"/>
      <c r="E79" s="100"/>
      <c r="F79" s="100"/>
      <c r="G79" s="100"/>
      <c r="H79" s="100"/>
      <c r="I79" s="100"/>
      <c r="J79" s="100"/>
    </row>
    <row r="80" spans="1:10">
      <c r="A80" s="100"/>
      <c r="B80" s="100"/>
      <c r="C80" s="100"/>
      <c r="D80" s="100"/>
      <c r="E80" s="100"/>
      <c r="F80" s="100"/>
      <c r="G80" s="100"/>
      <c r="H80" s="100"/>
      <c r="I80" s="100"/>
      <c r="J80" s="100"/>
    </row>
    <row r="81" spans="1:10">
      <c r="A81" s="100"/>
      <c r="B81" s="100"/>
      <c r="C81" s="100"/>
      <c r="D81" s="100"/>
      <c r="E81" s="100"/>
      <c r="F81" s="100"/>
      <c r="G81" s="100"/>
      <c r="H81" s="100"/>
      <c r="I81" s="100"/>
      <c r="J81" s="100"/>
    </row>
    <row r="82" spans="1:10">
      <c r="A82" s="100"/>
      <c r="B82" s="100"/>
      <c r="C82" s="100"/>
      <c r="D82" s="100"/>
      <c r="E82" s="100"/>
      <c r="F82" s="100"/>
      <c r="G82" s="100"/>
      <c r="H82" s="100"/>
      <c r="I82" s="100"/>
      <c r="J82" s="100"/>
    </row>
    <row r="83" spans="1:10">
      <c r="A83" s="100"/>
      <c r="B83" s="100"/>
      <c r="C83" s="100"/>
      <c r="D83" s="100"/>
      <c r="E83" s="100"/>
      <c r="F83" s="100"/>
      <c r="G83" s="100"/>
      <c r="H83" s="100"/>
      <c r="I83" s="100"/>
      <c r="J83" s="100"/>
    </row>
    <row r="84" spans="1:10">
      <c r="A84" s="100"/>
      <c r="B84" s="100"/>
      <c r="C84" s="100"/>
      <c r="D84" s="100"/>
      <c r="E84" s="100"/>
      <c r="F84" s="100"/>
      <c r="G84" s="100"/>
      <c r="H84" s="100"/>
      <c r="I84" s="100"/>
      <c r="J84" s="100"/>
    </row>
    <row r="85" spans="1:10">
      <c r="A85" s="100"/>
      <c r="B85" s="100"/>
      <c r="C85" s="100"/>
      <c r="D85" s="100"/>
      <c r="E85" s="100"/>
      <c r="F85" s="100"/>
      <c r="G85" s="100"/>
      <c r="H85" s="100"/>
      <c r="I85" s="100"/>
      <c r="J85" s="100"/>
    </row>
    <row r="86" spans="1:10">
      <c r="A86" s="100"/>
      <c r="B86" s="100"/>
      <c r="C86" s="100"/>
      <c r="D86" s="100"/>
      <c r="E86" s="100"/>
      <c r="F86" s="100"/>
      <c r="G86" s="100"/>
      <c r="H86" s="100"/>
      <c r="I86" s="100"/>
      <c r="J86" s="100"/>
    </row>
    <row r="87" spans="1:10">
      <c r="A87" s="100"/>
      <c r="B87" s="100"/>
      <c r="C87" s="100"/>
      <c r="D87" s="100"/>
      <c r="E87" s="100"/>
      <c r="F87" s="100"/>
      <c r="G87" s="100"/>
      <c r="H87" s="100"/>
      <c r="I87" s="100"/>
      <c r="J87" s="100"/>
    </row>
    <row r="88" spans="1:10">
      <c r="A88" s="100"/>
      <c r="B88" s="100"/>
      <c r="C88" s="100"/>
      <c r="D88" s="100"/>
      <c r="E88" s="100"/>
      <c r="F88" s="100"/>
      <c r="G88" s="100"/>
      <c r="H88" s="100"/>
      <c r="I88" s="100"/>
      <c r="J88" s="100"/>
    </row>
    <row r="89" spans="1:10">
      <c r="A89" s="100"/>
      <c r="B89" s="100"/>
      <c r="C89" s="100"/>
      <c r="D89" s="100"/>
      <c r="E89" s="100"/>
      <c r="F89" s="100"/>
      <c r="G89" s="100"/>
      <c r="H89" s="100"/>
      <c r="I89" s="100"/>
      <c r="J89" s="100"/>
    </row>
    <row r="90" spans="1:10">
      <c r="A90" s="100"/>
      <c r="B90" s="100"/>
      <c r="C90" s="100"/>
      <c r="D90" s="100"/>
      <c r="E90" s="100"/>
      <c r="F90" s="100"/>
      <c r="G90" s="100"/>
      <c r="H90" s="100"/>
      <c r="I90" s="100"/>
      <c r="J90" s="100"/>
    </row>
    <row r="91" spans="1:10">
      <c r="A91" s="100"/>
      <c r="B91" s="100"/>
      <c r="C91" s="100"/>
      <c r="D91" s="100"/>
      <c r="E91" s="100"/>
      <c r="F91" s="100"/>
      <c r="G91" s="100"/>
      <c r="H91" s="100"/>
      <c r="I91" s="100"/>
      <c r="J91" s="100"/>
    </row>
    <row r="92" spans="1:10">
      <c r="A92" s="100"/>
      <c r="B92" s="100"/>
      <c r="C92" s="100"/>
      <c r="D92" s="100"/>
      <c r="E92" s="100"/>
      <c r="F92" s="100"/>
      <c r="G92" s="100"/>
      <c r="H92" s="100"/>
      <c r="I92" s="100"/>
      <c r="J92" s="100"/>
    </row>
    <row r="93" spans="1:10">
      <c r="A93" s="100"/>
    </row>
    <row r="94" spans="1:10">
      <c r="A94" s="100"/>
    </row>
    <row r="95" spans="1:10">
      <c r="A95" s="100"/>
    </row>
    <row r="96" spans="1:10">
      <c r="A96" s="100"/>
    </row>
    <row r="97" spans="1:1">
      <c r="A97" s="100"/>
    </row>
    <row r="98" spans="1:1">
      <c r="A98" s="100"/>
    </row>
    <row r="99" spans="1:1">
      <c r="A99" s="100"/>
    </row>
    <row r="100" spans="1:1">
      <c r="A100" s="100"/>
    </row>
    <row r="101" spans="1:1">
      <c r="A101" s="100"/>
    </row>
    <row r="102" spans="1:1">
      <c r="A102" s="100"/>
    </row>
    <row r="103" spans="1:1">
      <c r="A103" s="100"/>
    </row>
    <row r="104" spans="1:1">
      <c r="A104" s="100"/>
    </row>
    <row r="105" spans="1:1">
      <c r="A105" s="100"/>
    </row>
    <row r="106" spans="1:1">
      <c r="A106" s="100"/>
    </row>
    <row r="107" spans="1:1">
      <c r="A107" s="100"/>
    </row>
    <row r="108" spans="1:1">
      <c r="A108" s="100"/>
    </row>
    <row r="109" spans="1:1">
      <c r="A109" s="100"/>
    </row>
    <row r="110" spans="1:1">
      <c r="A110" s="100"/>
    </row>
    <row r="111" spans="1:1">
      <c r="A111" s="100"/>
    </row>
    <row r="112" spans="1:1">
      <c r="A112" s="100"/>
    </row>
    <row r="113" spans="1:1">
      <c r="A113" s="100"/>
    </row>
    <row r="114" spans="1:1">
      <c r="A114" s="100"/>
    </row>
    <row r="115" spans="1:1">
      <c r="A115" s="100"/>
    </row>
    <row r="116" spans="1:1">
      <c r="A116" s="100"/>
    </row>
    <row r="117" spans="1:1">
      <c r="A117" s="100"/>
    </row>
    <row r="118" spans="1:1">
      <c r="A118" s="100"/>
    </row>
    <row r="119" spans="1:1">
      <c r="A119" s="100"/>
    </row>
    <row r="120" spans="1:1">
      <c r="A120" s="100"/>
    </row>
    <row r="121" spans="1:1">
      <c r="A121" s="100"/>
    </row>
    <row r="122" spans="1:1">
      <c r="A122" s="100"/>
    </row>
    <row r="123" spans="1:1">
      <c r="A123" s="100"/>
    </row>
    <row r="124" spans="1:1">
      <c r="A124" s="100"/>
    </row>
    <row r="125" spans="1:1">
      <c r="A125" s="100"/>
    </row>
    <row r="126" spans="1:1">
      <c r="A126" s="100"/>
    </row>
    <row r="127" spans="1:1">
      <c r="A127" s="100"/>
    </row>
    <row r="128" spans="1:1">
      <c r="A128" s="100"/>
    </row>
    <row r="129" spans="1:1">
      <c r="A129" s="100"/>
    </row>
    <row r="130" spans="1:1">
      <c r="A130" s="100"/>
    </row>
    <row r="131" spans="1:1">
      <c r="A131" s="100"/>
    </row>
    <row r="132" spans="1:1">
      <c r="A132" s="100"/>
    </row>
    <row r="133" spans="1:1">
      <c r="A133" s="100"/>
    </row>
    <row r="134" spans="1:1">
      <c r="A134" s="100"/>
    </row>
    <row r="135" spans="1:1">
      <c r="A135" s="100"/>
    </row>
    <row r="136" spans="1:1">
      <c r="A136" s="100"/>
    </row>
    <row r="137" spans="1:1">
      <c r="A137" s="100"/>
    </row>
    <row r="138" spans="1:1">
      <c r="A138" s="100"/>
    </row>
    <row r="139" spans="1:1">
      <c r="A139" s="100"/>
    </row>
    <row r="140" spans="1:1">
      <c r="A140" s="100"/>
    </row>
    <row r="141" spans="1:1">
      <c r="A141" s="100"/>
    </row>
    <row r="142" spans="1:1">
      <c r="A142" s="100"/>
    </row>
    <row r="143" spans="1:1">
      <c r="A143" s="100"/>
    </row>
  </sheetData>
  <mergeCells count="94">
    <mergeCell ref="H10:J10"/>
    <mergeCell ref="D12:E12"/>
    <mergeCell ref="F12:G12"/>
    <mergeCell ref="D23:E23"/>
    <mergeCell ref="D24:E24"/>
    <mergeCell ref="F23:G23"/>
    <mergeCell ref="F24:G24"/>
    <mergeCell ref="H24:J24"/>
    <mergeCell ref="D14:E14"/>
    <mergeCell ref="D15:E15"/>
    <mergeCell ref="F14:G14"/>
    <mergeCell ref="D10:E10"/>
    <mergeCell ref="F10:G10"/>
    <mergeCell ref="D11:E11"/>
    <mergeCell ref="F11:G11"/>
    <mergeCell ref="D13:E13"/>
    <mergeCell ref="H29:J29"/>
    <mergeCell ref="F17:G17"/>
    <mergeCell ref="H26:J26"/>
    <mergeCell ref="D26:E26"/>
    <mergeCell ref="H32:I32"/>
    <mergeCell ref="H28:J28"/>
    <mergeCell ref="H27:J27"/>
    <mergeCell ref="F30:G30"/>
    <mergeCell ref="H25:J25"/>
    <mergeCell ref="F26:G26"/>
    <mergeCell ref="D25:E25"/>
    <mergeCell ref="F25:G25"/>
    <mergeCell ref="F19:G19"/>
    <mergeCell ref="F31:G31"/>
    <mergeCell ref="D22:E22"/>
    <mergeCell ref="D17:E17"/>
    <mergeCell ref="F13:G13"/>
    <mergeCell ref="F16:G16"/>
    <mergeCell ref="F33:G33"/>
    <mergeCell ref="F15:G15"/>
    <mergeCell ref="D16:E16"/>
    <mergeCell ref="D27:E27"/>
    <mergeCell ref="F27:G27"/>
    <mergeCell ref="D29:E29"/>
    <mergeCell ref="F29:G29"/>
    <mergeCell ref="D28:E28"/>
    <mergeCell ref="F28:G28"/>
    <mergeCell ref="D18:E18"/>
    <mergeCell ref="F21:G21"/>
    <mergeCell ref="D19:E19"/>
    <mergeCell ref="D21:E21"/>
    <mergeCell ref="D32:E32"/>
    <mergeCell ref="H33:I33"/>
    <mergeCell ref="H34:I34"/>
    <mergeCell ref="D30:E30"/>
    <mergeCell ref="D33:E33"/>
    <mergeCell ref="F39:G39"/>
    <mergeCell ref="D31:E31"/>
    <mergeCell ref="E7:H7"/>
    <mergeCell ref="C47:D47"/>
    <mergeCell ref="F18:G18"/>
    <mergeCell ref="D20:E20"/>
    <mergeCell ref="F22:G22"/>
    <mergeCell ref="F20:G20"/>
    <mergeCell ref="C46:D46"/>
    <mergeCell ref="E47:F47"/>
    <mergeCell ref="C45:D45"/>
    <mergeCell ref="F35:G35"/>
    <mergeCell ref="H30:J30"/>
    <mergeCell ref="D41:E41"/>
    <mergeCell ref="C44:D44"/>
    <mergeCell ref="E44:F44"/>
    <mergeCell ref="D37:E37"/>
    <mergeCell ref="F37:G37"/>
    <mergeCell ref="F55:G55"/>
    <mergeCell ref="E51:F51"/>
    <mergeCell ref="H31:I31"/>
    <mergeCell ref="E45:F45"/>
    <mergeCell ref="E50:F50"/>
    <mergeCell ref="E46:F46"/>
    <mergeCell ref="C55:E55"/>
    <mergeCell ref="F32:G32"/>
    <mergeCell ref="C50:D50"/>
    <mergeCell ref="D35:E35"/>
    <mergeCell ref="C49:D49"/>
    <mergeCell ref="E49:F49"/>
    <mergeCell ref="F34:G34"/>
    <mergeCell ref="D34:E34"/>
    <mergeCell ref="H37:I37"/>
    <mergeCell ref="H35:I35"/>
    <mergeCell ref="E64:F64"/>
    <mergeCell ref="G64:H64"/>
    <mergeCell ref="C56:E56"/>
    <mergeCell ref="C57:E57"/>
    <mergeCell ref="F59:G59"/>
    <mergeCell ref="E62:H62"/>
    <mergeCell ref="F56:G56"/>
    <mergeCell ref="F57:G57"/>
  </mergeCells>
  <phoneticPr fontId="0" type="noConversion"/>
  <pageMargins left="0.59055118110236227" right="0.27559055118110237" top="0.43307086614173229" bottom="0.39370078740157483" header="0" footer="0"/>
  <pageSetup paperSize="9" scale="74" orientation="portrait" horizontalDpi="4294967293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93"/>
  <sheetViews>
    <sheetView showGridLines="0" topLeftCell="A7" zoomScaleNormal="75" workbookViewId="0">
      <selection activeCell="E48" sqref="E48:F48"/>
    </sheetView>
  </sheetViews>
  <sheetFormatPr defaultColWidth="9.140625" defaultRowHeight="12"/>
  <cols>
    <col min="1" max="2" width="4.28515625" style="199" customWidth="1"/>
    <col min="3" max="10" width="12.42578125" style="199" customWidth="1"/>
    <col min="11" max="256" width="11.42578125" style="199" customWidth="1"/>
    <col min="257" max="16384" width="9.140625" style="199"/>
  </cols>
  <sheetData>
    <row r="1" spans="1:11">
      <c r="A1" s="100"/>
      <c r="B1" s="100"/>
      <c r="C1" s="152"/>
      <c r="D1" s="152"/>
      <c r="E1" s="152"/>
      <c r="F1" s="152"/>
      <c r="G1" s="152"/>
      <c r="H1" s="152"/>
      <c r="I1" s="152"/>
      <c r="J1" s="152"/>
      <c r="K1" s="100"/>
    </row>
    <row r="2" spans="1:11">
      <c r="A2" s="153"/>
      <c r="B2" s="153"/>
      <c r="C2" s="100"/>
      <c r="D2" s="100"/>
      <c r="E2" s="100"/>
      <c r="F2" s="100"/>
      <c r="G2" s="100"/>
      <c r="H2" s="100"/>
      <c r="I2" s="100"/>
      <c r="J2" s="100"/>
      <c r="K2" s="100"/>
    </row>
    <row r="3" spans="1:11">
      <c r="A3" s="153"/>
      <c r="B3" s="153"/>
      <c r="C3" s="100"/>
      <c r="D3" s="100"/>
      <c r="E3" s="100"/>
      <c r="F3" s="100"/>
      <c r="G3" s="100"/>
      <c r="H3" s="100"/>
      <c r="I3" s="100"/>
      <c r="J3" s="100"/>
      <c r="K3" s="100"/>
    </row>
    <row r="4" spans="1:11">
      <c r="A4" s="210"/>
      <c r="B4" s="210"/>
      <c r="C4" s="100"/>
      <c r="D4" s="100"/>
      <c r="E4" s="100"/>
      <c r="F4" s="100"/>
      <c r="G4" s="100"/>
      <c r="H4" s="100"/>
      <c r="I4" s="100"/>
      <c r="J4" s="100"/>
      <c r="K4" s="100"/>
    </row>
    <row r="5" spans="1:11">
      <c r="A5" s="153"/>
      <c r="B5" s="153"/>
      <c r="C5" s="100"/>
      <c r="D5" s="100"/>
      <c r="E5" s="100"/>
      <c r="F5" s="100"/>
      <c r="G5" s="100"/>
      <c r="H5" s="100"/>
      <c r="I5" s="100"/>
      <c r="J5" s="100"/>
      <c r="K5" s="100"/>
    </row>
    <row r="6" spans="1:11">
      <c r="A6" s="210"/>
      <c r="B6" s="210"/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8.75">
      <c r="A7" s="210"/>
      <c r="B7" s="210"/>
      <c r="C7" s="100"/>
      <c r="D7" s="100"/>
      <c r="E7" s="272" t="s">
        <v>1</v>
      </c>
      <c r="F7" s="272"/>
      <c r="G7" s="272"/>
      <c r="H7" s="272"/>
      <c r="I7" s="186" t="s">
        <v>72</v>
      </c>
      <c r="J7" s="187">
        <f>CARÁT!$F$16</f>
        <v>2023</v>
      </c>
      <c r="K7" s="100"/>
    </row>
    <row r="8" spans="1:11">
      <c r="A8" s="210"/>
      <c r="B8" s="210"/>
      <c r="C8" s="100"/>
      <c r="D8" s="100"/>
      <c r="E8" s="100"/>
      <c r="F8" s="100"/>
      <c r="G8" s="100"/>
      <c r="H8" s="100"/>
      <c r="I8" s="100"/>
      <c r="J8" s="100"/>
      <c r="K8" s="100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100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100"/>
    </row>
    <row r="11" spans="1:11">
      <c r="A11" s="153"/>
      <c r="B11" s="95">
        <v>77</v>
      </c>
      <c r="C11" s="156">
        <v>45262</v>
      </c>
      <c r="D11" s="295" t="s">
        <v>36</v>
      </c>
      <c r="E11" s="295"/>
      <c r="F11" s="309">
        <v>62850</v>
      </c>
      <c r="G11" s="309"/>
      <c r="H11" s="157" t="s">
        <v>9</v>
      </c>
      <c r="I11" s="157"/>
      <c r="J11" s="157"/>
      <c r="K11" s="100"/>
    </row>
    <row r="12" spans="1:11">
      <c r="A12" s="153"/>
      <c r="B12" s="95">
        <v>78</v>
      </c>
      <c r="C12" s="156">
        <v>45264</v>
      </c>
      <c r="D12" s="273" t="s">
        <v>42</v>
      </c>
      <c r="E12" s="273"/>
      <c r="F12" s="275">
        <v>59250</v>
      </c>
      <c r="G12" s="275"/>
      <c r="H12" s="157" t="s">
        <v>9</v>
      </c>
      <c r="I12" s="157"/>
      <c r="J12" s="157"/>
      <c r="K12" s="100"/>
    </row>
    <row r="13" spans="1:11">
      <c r="A13" s="153"/>
      <c r="B13" s="95">
        <v>79</v>
      </c>
      <c r="C13" s="156">
        <v>45266</v>
      </c>
      <c r="D13" s="273" t="s">
        <v>8</v>
      </c>
      <c r="E13" s="273"/>
      <c r="F13" s="275">
        <v>9870</v>
      </c>
      <c r="G13" s="275"/>
      <c r="H13" s="157" t="s">
        <v>9</v>
      </c>
      <c r="I13" s="157"/>
      <c r="J13" s="157"/>
      <c r="K13" s="100"/>
    </row>
    <row r="14" spans="1:11">
      <c r="A14" s="153"/>
      <c r="B14" s="95">
        <v>80</v>
      </c>
      <c r="C14" s="156">
        <v>45269</v>
      </c>
      <c r="D14" s="327" t="s">
        <v>36</v>
      </c>
      <c r="E14" s="327"/>
      <c r="F14" s="275">
        <v>64560</v>
      </c>
      <c r="G14" s="275"/>
      <c r="H14" s="157" t="s">
        <v>9</v>
      </c>
      <c r="I14" s="157"/>
      <c r="J14" s="157"/>
      <c r="K14" s="100"/>
    </row>
    <row r="15" spans="1:11">
      <c r="A15" s="153"/>
      <c r="B15" s="95">
        <v>81</v>
      </c>
      <c r="C15" s="156">
        <v>45270</v>
      </c>
      <c r="D15" s="327" t="s">
        <v>8</v>
      </c>
      <c r="E15" s="327"/>
      <c r="F15" s="275">
        <v>29160</v>
      </c>
      <c r="G15" s="275"/>
      <c r="H15" s="157" t="s">
        <v>9</v>
      </c>
      <c r="I15" s="157"/>
      <c r="J15" s="157"/>
      <c r="K15" s="100"/>
    </row>
    <row r="16" spans="1:11">
      <c r="A16" s="153"/>
      <c r="B16" s="95">
        <v>82</v>
      </c>
      <c r="C16" s="156">
        <v>45268</v>
      </c>
      <c r="D16" s="327" t="s">
        <v>42</v>
      </c>
      <c r="E16" s="327"/>
      <c r="F16" s="275">
        <v>62700</v>
      </c>
      <c r="G16" s="275"/>
      <c r="H16" s="157" t="s">
        <v>9</v>
      </c>
      <c r="I16" s="157"/>
      <c r="J16" s="157"/>
      <c r="K16" s="100"/>
    </row>
    <row r="17" spans="1:11">
      <c r="A17" s="153"/>
      <c r="B17" s="95">
        <v>83</v>
      </c>
      <c r="C17" s="156">
        <v>45271</v>
      </c>
      <c r="D17" s="327" t="s">
        <v>59</v>
      </c>
      <c r="E17" s="327"/>
      <c r="F17" s="275">
        <v>16470</v>
      </c>
      <c r="G17" s="275"/>
      <c r="H17" s="157" t="s">
        <v>9</v>
      </c>
      <c r="I17" s="157"/>
      <c r="J17" s="157"/>
      <c r="K17" s="100"/>
    </row>
    <row r="18" spans="1:11">
      <c r="A18" s="153"/>
      <c r="B18" s="95">
        <v>84</v>
      </c>
      <c r="C18" s="156">
        <v>45274</v>
      </c>
      <c r="D18" s="327" t="s">
        <v>36</v>
      </c>
      <c r="E18" s="327"/>
      <c r="F18" s="275">
        <v>64590</v>
      </c>
      <c r="G18" s="275"/>
      <c r="H18" s="157" t="s">
        <v>9</v>
      </c>
      <c r="I18" s="157"/>
      <c r="J18" s="157"/>
      <c r="K18" s="100"/>
    </row>
    <row r="19" spans="1:11">
      <c r="A19" s="153"/>
      <c r="B19" s="95">
        <v>85</v>
      </c>
      <c r="C19" s="156">
        <v>45275</v>
      </c>
      <c r="D19" s="327" t="s">
        <v>42</v>
      </c>
      <c r="E19" s="327"/>
      <c r="F19" s="275">
        <v>61860</v>
      </c>
      <c r="G19" s="275"/>
      <c r="H19" s="157" t="s">
        <v>9</v>
      </c>
      <c r="I19" s="157"/>
      <c r="J19" s="157"/>
      <c r="K19" s="100"/>
    </row>
    <row r="20" spans="1:11">
      <c r="A20" s="153"/>
      <c r="B20" s="95">
        <v>86</v>
      </c>
      <c r="C20" s="156">
        <v>45644</v>
      </c>
      <c r="D20" s="327" t="s">
        <v>36</v>
      </c>
      <c r="E20" s="327"/>
      <c r="F20" s="275">
        <v>39600</v>
      </c>
      <c r="G20" s="275"/>
      <c r="H20" s="157" t="s">
        <v>9</v>
      </c>
      <c r="I20" s="157"/>
      <c r="J20" s="157"/>
      <c r="K20" s="100"/>
    </row>
    <row r="21" spans="1:11">
      <c r="A21" s="153"/>
      <c r="B21" s="95">
        <v>87</v>
      </c>
      <c r="C21" s="156">
        <v>45642</v>
      </c>
      <c r="D21" s="327" t="s">
        <v>8</v>
      </c>
      <c r="E21" s="327"/>
      <c r="F21" s="275">
        <v>64170</v>
      </c>
      <c r="G21" s="275"/>
      <c r="H21" s="157" t="s">
        <v>9</v>
      </c>
      <c r="I21" s="157"/>
      <c r="J21" s="157"/>
      <c r="K21" s="100"/>
    </row>
    <row r="22" spans="1:11">
      <c r="A22" s="153"/>
      <c r="B22" s="153"/>
      <c r="C22" s="156"/>
      <c r="D22" s="273"/>
      <c r="E22" s="273"/>
      <c r="F22" s="274"/>
      <c r="G22" s="274"/>
      <c r="H22" s="273"/>
      <c r="I22" s="273"/>
      <c r="J22" s="273"/>
      <c r="K22" s="100"/>
    </row>
    <row r="23" spans="1:11">
      <c r="A23" s="153"/>
      <c r="B23" s="153"/>
      <c r="C23" s="156"/>
      <c r="D23" s="273"/>
      <c r="E23" s="273"/>
      <c r="F23" s="274"/>
      <c r="G23" s="274"/>
      <c r="H23" s="273"/>
      <c r="I23" s="273"/>
      <c r="J23" s="273"/>
      <c r="K23" s="100"/>
    </row>
    <row r="24" spans="1:11">
      <c r="A24" s="153"/>
      <c r="B24" s="153"/>
      <c r="C24" s="156"/>
      <c r="D24" s="327"/>
      <c r="E24" s="327"/>
      <c r="F24" s="274"/>
      <c r="G24" s="274"/>
      <c r="H24" s="273"/>
      <c r="I24" s="273"/>
      <c r="J24" s="273"/>
      <c r="K24" s="100"/>
    </row>
    <row r="25" spans="1:11">
      <c r="A25" s="153"/>
      <c r="B25" s="153"/>
      <c r="C25" s="156"/>
      <c r="D25" s="296"/>
      <c r="E25" s="273"/>
      <c r="F25" s="274"/>
      <c r="G25" s="274"/>
      <c r="H25" s="273"/>
      <c r="I25" s="273"/>
      <c r="J25" s="273"/>
      <c r="K25" s="100"/>
    </row>
    <row r="26" spans="1:11">
      <c r="A26" s="153"/>
      <c r="B26" s="153"/>
      <c r="C26" s="156"/>
      <c r="D26" s="273"/>
      <c r="E26" s="273"/>
      <c r="F26" s="274"/>
      <c r="G26" s="274"/>
      <c r="H26" s="273"/>
      <c r="I26" s="273"/>
      <c r="J26" s="273"/>
      <c r="K26" s="100"/>
    </row>
    <row r="27" spans="1:11">
      <c r="A27" s="153"/>
      <c r="B27" s="153"/>
      <c r="C27" s="156"/>
      <c r="D27" s="273"/>
      <c r="E27" s="273"/>
      <c r="F27" s="274"/>
      <c r="G27" s="274"/>
      <c r="H27" s="273"/>
      <c r="I27" s="273"/>
      <c r="J27" s="273"/>
      <c r="K27" s="100"/>
    </row>
    <row r="28" spans="1:11">
      <c r="A28" s="153"/>
      <c r="B28" s="153"/>
      <c r="C28" s="156"/>
      <c r="D28" s="273"/>
      <c r="E28" s="273"/>
      <c r="F28" s="274"/>
      <c r="G28" s="274"/>
      <c r="H28" s="273"/>
      <c r="I28" s="273"/>
      <c r="J28" s="273"/>
      <c r="K28" s="100"/>
    </row>
    <row r="29" spans="1:11">
      <c r="A29" s="153"/>
      <c r="B29" s="153"/>
      <c r="C29" s="156"/>
      <c r="D29" s="273"/>
      <c r="E29" s="273"/>
      <c r="F29" s="274"/>
      <c r="G29" s="274"/>
      <c r="H29" s="273"/>
      <c r="I29" s="273"/>
      <c r="J29" s="273"/>
      <c r="K29" s="100"/>
    </row>
    <row r="30" spans="1:11">
      <c r="A30" s="153"/>
      <c r="B30" s="153"/>
      <c r="C30" s="156"/>
      <c r="D30" s="273"/>
      <c r="E30" s="273"/>
      <c r="F30" s="274"/>
      <c r="G30" s="274"/>
      <c r="H30" s="273"/>
      <c r="I30" s="273"/>
      <c r="J30" s="273"/>
      <c r="K30" s="100"/>
    </row>
    <row r="31" spans="1:11">
      <c r="A31" s="153"/>
      <c r="B31" s="153"/>
      <c r="C31" s="156"/>
      <c r="D31" s="273"/>
      <c r="E31" s="273"/>
      <c r="F31" s="274"/>
      <c r="G31" s="274"/>
      <c r="H31" s="273"/>
      <c r="I31" s="273"/>
      <c r="J31" s="273"/>
      <c r="K31" s="100"/>
    </row>
    <row r="32" spans="1:11">
      <c r="A32" s="153"/>
      <c r="B32" s="153"/>
      <c r="C32" s="156"/>
      <c r="D32" s="273"/>
      <c r="E32" s="273"/>
      <c r="F32" s="274"/>
      <c r="G32" s="274"/>
      <c r="H32" s="273"/>
      <c r="I32" s="273"/>
      <c r="J32" s="273"/>
      <c r="K32" s="100"/>
    </row>
    <row r="33" spans="1:11">
      <c r="A33" s="153"/>
      <c r="B33" s="153"/>
      <c r="C33" s="156"/>
      <c r="D33" s="273"/>
      <c r="E33" s="273"/>
      <c r="F33" s="274"/>
      <c r="G33" s="274"/>
      <c r="H33" s="273"/>
      <c r="I33" s="273"/>
      <c r="J33" s="273"/>
      <c r="K33" s="100"/>
    </row>
    <row r="34" spans="1:11">
      <c r="A34" s="153"/>
      <c r="B34" s="153"/>
      <c r="C34" s="156"/>
      <c r="D34" s="273"/>
      <c r="E34" s="273"/>
      <c r="F34" s="274"/>
      <c r="G34" s="274"/>
      <c r="H34" s="273"/>
      <c r="I34" s="273"/>
      <c r="J34" s="273"/>
      <c r="K34" s="100"/>
    </row>
    <row r="35" spans="1:11">
      <c r="A35" s="153"/>
      <c r="B35" s="153"/>
      <c r="C35" s="156"/>
      <c r="D35" s="273"/>
      <c r="E35" s="273"/>
      <c r="F35" s="274"/>
      <c r="G35" s="274"/>
      <c r="H35" s="273"/>
      <c r="I35" s="273"/>
      <c r="J35" s="273"/>
      <c r="K35" s="100"/>
    </row>
    <row r="36" spans="1:11">
      <c r="A36" s="153"/>
      <c r="B36" s="153"/>
      <c r="C36" s="156"/>
      <c r="D36" s="273"/>
      <c r="E36" s="273"/>
      <c r="F36" s="274"/>
      <c r="G36" s="274"/>
      <c r="H36" s="273"/>
      <c r="I36" s="273"/>
      <c r="J36" s="273"/>
      <c r="K36" s="100"/>
    </row>
    <row r="37" spans="1:11">
      <c r="A37" s="153"/>
      <c r="B37" s="153"/>
      <c r="C37" s="156"/>
      <c r="D37" s="273"/>
      <c r="E37" s="273"/>
      <c r="F37" s="274"/>
      <c r="G37" s="274"/>
      <c r="H37" s="273"/>
      <c r="I37" s="273"/>
      <c r="J37" s="273"/>
      <c r="K37" s="100"/>
    </row>
    <row r="38" spans="1:11">
      <c r="A38" s="153"/>
      <c r="B38" s="153"/>
      <c r="C38" s="156"/>
      <c r="D38" s="273"/>
      <c r="E38" s="273"/>
      <c r="F38" s="288"/>
      <c r="G38" s="288"/>
      <c r="H38" s="273"/>
      <c r="I38" s="273"/>
      <c r="J38" s="273"/>
      <c r="K38" s="100"/>
    </row>
    <row r="39" spans="1:11">
      <c r="A39" s="153"/>
      <c r="B39" s="153"/>
      <c r="C39" s="159"/>
      <c r="D39" s="160"/>
      <c r="E39" s="160"/>
      <c r="F39" s="293">
        <f>SUM(F11:G38)</f>
        <v>535080</v>
      </c>
      <c r="G39" s="294"/>
      <c r="H39" s="95"/>
      <c r="I39" s="95"/>
      <c r="J39" s="95"/>
      <c r="K39" s="100"/>
    </row>
    <row r="40" spans="1:11">
      <c r="A40" s="153"/>
      <c r="B40" s="153"/>
      <c r="C40" s="100"/>
      <c r="D40" s="100"/>
      <c r="E40" s="161"/>
      <c r="F40" s="100"/>
      <c r="G40" s="100"/>
      <c r="H40" s="100"/>
      <c r="I40" s="100"/>
      <c r="J40" s="100"/>
      <c r="K40" s="100"/>
    </row>
    <row r="41" spans="1:11">
      <c r="A41" s="153"/>
      <c r="B41" s="153"/>
      <c r="C41" s="100"/>
      <c r="D41" s="289" t="s">
        <v>10</v>
      </c>
      <c r="E41" s="289"/>
      <c r="F41" s="100"/>
      <c r="G41" s="162">
        <f>F39/1000</f>
        <v>535.08000000000004</v>
      </c>
      <c r="H41" s="100"/>
      <c r="I41" s="100"/>
      <c r="J41" s="100"/>
      <c r="K41" s="100"/>
    </row>
    <row r="42" spans="1:11">
      <c r="A42" s="153"/>
      <c r="B42" s="153"/>
      <c r="C42" s="100"/>
      <c r="D42" s="100"/>
      <c r="E42" s="161"/>
      <c r="F42" s="100"/>
      <c r="G42" s="100"/>
      <c r="H42" s="100"/>
      <c r="I42" s="100"/>
      <c r="J42" s="100"/>
      <c r="K42" s="100"/>
    </row>
    <row r="43" spans="1:11">
      <c r="A43" s="153"/>
      <c r="B43" s="153"/>
      <c r="C43" s="100"/>
      <c r="D43" s="100"/>
      <c r="E43" s="100"/>
      <c r="F43" s="100"/>
      <c r="G43" s="100"/>
      <c r="H43" s="100"/>
      <c r="I43" s="100"/>
      <c r="J43" s="100"/>
      <c r="K43" s="100"/>
    </row>
    <row r="44" spans="1:11">
      <c r="A44" s="153"/>
      <c r="B44" s="153"/>
      <c r="C44" s="287" t="s">
        <v>11</v>
      </c>
      <c r="D44" s="287"/>
      <c r="E44" s="287" t="s">
        <v>12</v>
      </c>
      <c r="F44" s="287"/>
      <c r="G44" s="154" t="s">
        <v>13</v>
      </c>
      <c r="H44" s="154" t="s">
        <v>14</v>
      </c>
      <c r="I44" s="100"/>
      <c r="J44" s="100"/>
      <c r="K44" s="100"/>
    </row>
    <row r="45" spans="1:11">
      <c r="A45" s="153"/>
      <c r="B45" s="153"/>
      <c r="C45" s="295" t="s">
        <v>17</v>
      </c>
      <c r="D45" s="295"/>
      <c r="E45" s="328"/>
      <c r="F45" s="328"/>
      <c r="G45" s="163">
        <f>+E45/E50</f>
        <v>0</v>
      </c>
      <c r="H45" s="164"/>
      <c r="I45" s="100"/>
      <c r="J45" s="100"/>
      <c r="K45" s="100"/>
    </row>
    <row r="46" spans="1:11">
      <c r="A46" s="153"/>
      <c r="B46" s="153"/>
      <c r="C46" s="273" t="s">
        <v>54</v>
      </c>
      <c r="D46" s="273"/>
      <c r="E46" s="328">
        <f>F13+F15+F21</f>
        <v>103200</v>
      </c>
      <c r="F46" s="328"/>
      <c r="G46" s="163">
        <f>+E46/E50</f>
        <v>0.19286835613366227</v>
      </c>
      <c r="H46" s="164">
        <v>3</v>
      </c>
      <c r="I46" s="100"/>
      <c r="J46" s="100"/>
      <c r="K46" s="100"/>
    </row>
    <row r="47" spans="1:11">
      <c r="A47" s="153"/>
      <c r="B47" s="153"/>
      <c r="C47" s="273" t="s">
        <v>37</v>
      </c>
      <c r="D47" s="273"/>
      <c r="E47" s="328">
        <f>F11+F12+F14+F16+F17+F18+F19+F20</f>
        <v>431880</v>
      </c>
      <c r="F47" s="328"/>
      <c r="G47" s="163">
        <f>+E47/E50</f>
        <v>0.80713164386633773</v>
      </c>
      <c r="H47" s="164">
        <v>8</v>
      </c>
      <c r="I47" s="100"/>
      <c r="J47" s="100"/>
      <c r="K47" s="100"/>
    </row>
    <row r="48" spans="1:11">
      <c r="A48" s="153"/>
      <c r="B48" s="153"/>
      <c r="C48" s="273" t="s">
        <v>65</v>
      </c>
      <c r="D48" s="273"/>
      <c r="E48" s="274"/>
      <c r="F48" s="274"/>
      <c r="G48" s="163">
        <f>+E48/E50</f>
        <v>0</v>
      </c>
      <c r="H48" s="164"/>
      <c r="I48" s="100"/>
      <c r="J48" s="100"/>
      <c r="K48" s="100"/>
    </row>
    <row r="49" spans="1:11">
      <c r="A49" s="153"/>
      <c r="B49" s="153"/>
      <c r="C49" s="273" t="s">
        <v>73</v>
      </c>
      <c r="D49" s="273"/>
      <c r="E49" s="288"/>
      <c r="F49" s="288"/>
      <c r="G49" s="163">
        <f>+E49/E50</f>
        <v>0</v>
      </c>
      <c r="H49" s="164"/>
      <c r="I49" s="100"/>
      <c r="J49" s="100"/>
      <c r="K49" s="100"/>
    </row>
    <row r="50" spans="1:11">
      <c r="A50" s="153"/>
      <c r="B50" s="153"/>
      <c r="C50" s="165"/>
      <c r="D50" s="166" t="s">
        <v>20</v>
      </c>
      <c r="E50" s="329">
        <f>SUM(E45:F49)</f>
        <v>535080</v>
      </c>
      <c r="F50" s="329"/>
      <c r="G50" s="167">
        <f>SUM(G45:G49)</f>
        <v>1</v>
      </c>
      <c r="H50" s="168">
        <f>SUM(H45:H49)</f>
        <v>11</v>
      </c>
      <c r="I50" s="100"/>
      <c r="J50" s="100"/>
      <c r="K50" s="100"/>
    </row>
    <row r="51" spans="1:11">
      <c r="A51" s="153"/>
      <c r="B51" s="153"/>
      <c r="C51" s="169"/>
      <c r="D51" s="169"/>
      <c r="E51" s="160"/>
      <c r="F51" s="160"/>
      <c r="G51" s="160"/>
      <c r="H51" s="100"/>
      <c r="I51" s="100"/>
      <c r="J51" s="100"/>
      <c r="K51" s="100"/>
    </row>
    <row r="52" spans="1:11">
      <c r="A52" s="153"/>
      <c r="B52" s="153"/>
      <c r="C52" s="100"/>
      <c r="D52" s="100"/>
      <c r="E52" s="96"/>
      <c r="F52" s="171"/>
      <c r="G52" s="172"/>
      <c r="H52" s="100"/>
      <c r="I52" s="100"/>
      <c r="J52" s="100"/>
      <c r="K52" s="100"/>
    </row>
    <row r="53" spans="1:11">
      <c r="A53" s="153"/>
      <c r="B53" s="153"/>
      <c r="C53" s="170"/>
      <c r="D53" s="100"/>
      <c r="E53" s="96"/>
      <c r="F53" s="171"/>
      <c r="G53" s="172"/>
      <c r="H53" s="100"/>
      <c r="I53" s="100"/>
      <c r="J53" s="100"/>
      <c r="K53" s="100"/>
    </row>
    <row r="54" spans="1:11">
      <c r="A54" s="153"/>
      <c r="B54" s="153"/>
      <c r="C54" s="283" t="s">
        <v>7</v>
      </c>
      <c r="D54" s="284"/>
      <c r="E54" s="285"/>
      <c r="F54" s="286" t="s">
        <v>6</v>
      </c>
      <c r="G54" s="287"/>
      <c r="H54" s="154" t="s">
        <v>13</v>
      </c>
      <c r="I54" s="100"/>
      <c r="J54" s="100"/>
      <c r="K54" s="100"/>
    </row>
    <row r="55" spans="1:11">
      <c r="A55" s="153"/>
      <c r="B55" s="153"/>
      <c r="C55" s="273" t="s">
        <v>21</v>
      </c>
      <c r="D55" s="273"/>
      <c r="E55" s="273"/>
      <c r="F55" s="282"/>
      <c r="G55" s="282"/>
      <c r="H55" s="163">
        <f>+F55/F58</f>
        <v>0</v>
      </c>
      <c r="I55" s="100"/>
      <c r="J55" s="100"/>
      <c r="K55" s="100"/>
    </row>
    <row r="56" spans="1:11">
      <c r="A56" s="153"/>
      <c r="B56" s="153"/>
      <c r="C56" s="273" t="s">
        <v>22</v>
      </c>
      <c r="D56" s="273"/>
      <c r="E56" s="273"/>
      <c r="F56" s="274">
        <f>F39</f>
        <v>535080</v>
      </c>
      <c r="G56" s="274"/>
      <c r="H56" s="163">
        <f>+F56/F58</f>
        <v>1</v>
      </c>
      <c r="I56" s="100"/>
      <c r="J56" s="100"/>
      <c r="K56" s="100"/>
    </row>
    <row r="57" spans="1:11">
      <c r="A57" s="153"/>
      <c r="B57" s="153"/>
      <c r="C57" s="100"/>
      <c r="D57" s="100"/>
      <c r="E57" s="100"/>
      <c r="F57" s="158"/>
      <c r="G57" s="158"/>
      <c r="H57" s="163"/>
      <c r="I57" s="100"/>
      <c r="J57" s="100"/>
      <c r="K57" s="100"/>
    </row>
    <row r="58" spans="1:11">
      <c r="A58" s="153"/>
      <c r="B58" s="153"/>
      <c r="C58" s="100"/>
      <c r="D58" s="100" t="s">
        <v>20</v>
      </c>
      <c r="E58" s="100"/>
      <c r="F58" s="278">
        <f>SUM(F55:G57)</f>
        <v>535080</v>
      </c>
      <c r="G58" s="278"/>
      <c r="H58" s="167">
        <f>SUM(H55:H57)</f>
        <v>1</v>
      </c>
      <c r="I58" s="100"/>
      <c r="J58" s="100"/>
      <c r="K58" s="100"/>
    </row>
    <row r="59" spans="1:11">
      <c r="A59" s="153"/>
      <c r="B59" s="153"/>
      <c r="C59" s="100"/>
      <c r="D59" s="100"/>
      <c r="E59" s="100"/>
      <c r="F59" s="184"/>
      <c r="G59" s="184"/>
      <c r="H59" s="185"/>
      <c r="I59" s="100"/>
      <c r="J59" s="100"/>
      <c r="K59" s="100"/>
    </row>
    <row r="60" spans="1:11">
      <c r="A60" s="153"/>
      <c r="B60" s="153"/>
      <c r="C60" s="100"/>
      <c r="D60" s="100"/>
      <c r="E60" s="100"/>
      <c r="F60" s="184"/>
      <c r="G60" s="184"/>
      <c r="H60" s="185"/>
      <c r="I60" s="100"/>
      <c r="J60" s="100"/>
      <c r="K60" s="100"/>
    </row>
    <row r="61" spans="1:11">
      <c r="A61" s="153"/>
      <c r="B61" s="153"/>
      <c r="C61" s="100"/>
      <c r="D61" s="100"/>
      <c r="E61" s="100"/>
      <c r="F61" s="100"/>
      <c r="G61" s="100"/>
      <c r="H61" s="246"/>
      <c r="I61" s="100"/>
      <c r="J61" s="100"/>
      <c r="K61" s="100"/>
    </row>
    <row r="62" spans="1:11">
      <c r="A62" s="153"/>
      <c r="B62" s="153"/>
      <c r="C62" s="100"/>
      <c r="D62" s="96"/>
      <c r="E62" s="211"/>
      <c r="F62" s="100"/>
      <c r="G62" s="100"/>
      <c r="H62" s="100"/>
      <c r="I62" s="100"/>
      <c r="J62" s="100"/>
      <c r="K62" s="100"/>
    </row>
    <row r="63" spans="1:11">
      <c r="A63" s="153"/>
      <c r="B63" s="153"/>
      <c r="C63" s="100"/>
      <c r="D63" s="100"/>
      <c r="E63" s="279" t="s">
        <v>23</v>
      </c>
      <c r="F63" s="279"/>
      <c r="G63" s="279"/>
      <c r="H63" s="279"/>
      <c r="I63" s="100"/>
      <c r="J63" s="100"/>
      <c r="K63" s="100"/>
    </row>
    <row r="64" spans="1:11">
      <c r="A64" s="153"/>
      <c r="B64" s="153"/>
      <c r="C64" s="100"/>
      <c r="D64" s="212"/>
      <c r="E64" s="100"/>
      <c r="F64" s="100"/>
      <c r="G64" s="100"/>
      <c r="H64" s="100"/>
      <c r="I64" s="100"/>
      <c r="J64" s="100"/>
      <c r="K64" s="100"/>
    </row>
    <row r="65" spans="1:11">
      <c r="A65" s="100"/>
      <c r="B65" s="100"/>
      <c r="C65" s="100"/>
      <c r="D65" s="213" t="s">
        <v>24</v>
      </c>
      <c r="E65" s="297" t="s">
        <v>25</v>
      </c>
      <c r="F65" s="298"/>
      <c r="G65" s="297" t="s">
        <v>26</v>
      </c>
      <c r="H65" s="298"/>
      <c r="I65" s="100"/>
      <c r="J65" s="100"/>
      <c r="K65" s="100"/>
    </row>
    <row r="66" spans="1:11">
      <c r="A66" s="100"/>
      <c r="B66" s="100"/>
      <c r="C66" s="100"/>
      <c r="D66" s="214" t="s">
        <v>27</v>
      </c>
      <c r="E66" s="215" t="s">
        <v>28</v>
      </c>
      <c r="F66" s="215" t="s">
        <v>29</v>
      </c>
      <c r="G66" s="215" t="s">
        <v>28</v>
      </c>
      <c r="H66" s="215" t="s">
        <v>29</v>
      </c>
      <c r="I66" s="100"/>
      <c r="J66" s="100"/>
      <c r="K66" s="100"/>
    </row>
    <row r="67" spans="1:11">
      <c r="A67" s="100"/>
      <c r="B67" s="100"/>
      <c r="C67" s="100"/>
      <c r="D67" s="190" t="s">
        <v>30</v>
      </c>
      <c r="E67" s="198">
        <f>Comparativo!AY13</f>
        <v>559.32000000000005</v>
      </c>
      <c r="F67" s="206">
        <f>Comparativo!AZ13</f>
        <v>15</v>
      </c>
      <c r="G67" s="250">
        <f>ENE!$G$46</f>
        <v>123.39</v>
      </c>
      <c r="H67" s="207">
        <f>ENE!$H$55</f>
        <v>4</v>
      </c>
      <c r="I67" s="100"/>
      <c r="J67" s="100"/>
      <c r="K67" s="100"/>
    </row>
    <row r="68" spans="1:11">
      <c r="A68" s="100"/>
      <c r="B68" s="100"/>
      <c r="C68" s="100"/>
      <c r="D68" s="190" t="s">
        <v>34</v>
      </c>
      <c r="E68" s="220">
        <f>Comparativo!AY14</f>
        <v>437.76</v>
      </c>
      <c r="F68" s="206">
        <f>Comparativo!AZ14</f>
        <v>19</v>
      </c>
      <c r="G68" s="192">
        <f>FEB!$G$48</f>
        <v>176.79</v>
      </c>
      <c r="H68" s="191">
        <f>FEB!$H$57</f>
        <v>6</v>
      </c>
      <c r="I68" s="100"/>
      <c r="J68" s="100"/>
      <c r="K68" s="100"/>
    </row>
    <row r="69" spans="1:11">
      <c r="A69" s="100"/>
      <c r="B69" s="100"/>
      <c r="C69" s="100"/>
      <c r="D69" s="197" t="s">
        <v>38</v>
      </c>
      <c r="E69" s="220">
        <f>Comparativo!AY15</f>
        <v>541.5</v>
      </c>
      <c r="F69" s="206">
        <f>Comparativo!AZ15</f>
        <v>15</v>
      </c>
      <c r="G69" s="192">
        <f>MAR!$G$43</f>
        <v>370.56</v>
      </c>
      <c r="H69" s="191">
        <f>MAR!$H$51</f>
        <v>11</v>
      </c>
      <c r="I69" s="100"/>
      <c r="J69" s="100"/>
      <c r="K69" s="100"/>
    </row>
    <row r="70" spans="1:11">
      <c r="A70" s="100"/>
      <c r="B70" s="100"/>
      <c r="C70" s="100"/>
      <c r="D70" s="197" t="s">
        <v>44</v>
      </c>
      <c r="E70" s="220">
        <f>Comparativo!AY16</f>
        <v>509.58</v>
      </c>
      <c r="F70" s="206">
        <f>Comparativo!AZ16</f>
        <v>18</v>
      </c>
      <c r="G70" s="192">
        <f>ABR!$G$41</f>
        <v>201.99</v>
      </c>
      <c r="H70" s="191">
        <f>ABR!$H$50</f>
        <v>8</v>
      </c>
      <c r="I70" s="100"/>
      <c r="J70" s="100"/>
      <c r="K70" s="100"/>
    </row>
    <row r="71" spans="1:11">
      <c r="A71" s="100"/>
      <c r="B71" s="100"/>
      <c r="C71" s="100"/>
      <c r="D71" s="190" t="s">
        <v>46</v>
      </c>
      <c r="E71" s="220">
        <f>Comparativo!AY17</f>
        <v>38.22</v>
      </c>
      <c r="F71" s="206">
        <f>Comparativo!AZ17</f>
        <v>2</v>
      </c>
      <c r="G71" s="220">
        <f>MAY!$G$44</f>
        <v>60.9</v>
      </c>
      <c r="H71" s="219">
        <f>MAY!$H$52</f>
        <v>2</v>
      </c>
      <c r="I71" s="100"/>
      <c r="J71" s="100"/>
      <c r="K71" s="100"/>
    </row>
    <row r="72" spans="1:11">
      <c r="A72" s="100"/>
      <c r="B72" s="100"/>
      <c r="C72" s="100"/>
      <c r="D72" s="197" t="s">
        <v>48</v>
      </c>
      <c r="E72" s="220">
        <f>Comparativo!AY18</f>
        <v>136.56</v>
      </c>
      <c r="F72" s="206">
        <f>Comparativo!AZ18</f>
        <v>2</v>
      </c>
      <c r="G72" s="220">
        <f>JUN!$G$33</f>
        <v>0</v>
      </c>
      <c r="H72" s="219">
        <f>JUN!$H$42</f>
        <v>0</v>
      </c>
      <c r="I72" s="100"/>
      <c r="J72" s="100"/>
      <c r="K72" s="100"/>
    </row>
    <row r="73" spans="1:11">
      <c r="A73" s="100"/>
      <c r="B73" s="100"/>
      <c r="C73" s="100"/>
      <c r="D73" s="197" t="s">
        <v>57</v>
      </c>
      <c r="E73" s="220">
        <f>Comparativo!AY20</f>
        <v>380.88</v>
      </c>
      <c r="F73" s="206">
        <f>Comparativo!AZ20</f>
        <v>6</v>
      </c>
      <c r="G73" s="220">
        <f>JUL!$G$33</f>
        <v>0</v>
      </c>
      <c r="H73" s="219">
        <f>JUL!$H$42</f>
        <v>0</v>
      </c>
      <c r="I73" s="100"/>
      <c r="J73" s="100"/>
      <c r="K73" s="100"/>
    </row>
    <row r="74" spans="1:11">
      <c r="A74" s="100"/>
      <c r="B74" s="100"/>
      <c r="C74" s="100"/>
      <c r="D74" s="197" t="s">
        <v>62</v>
      </c>
      <c r="E74" s="220">
        <f>Comparativo!AY21</f>
        <v>807.75</v>
      </c>
      <c r="F74" s="206">
        <f>Comparativo!AZ21</f>
        <v>21</v>
      </c>
      <c r="G74" s="96">
        <f>AGO!$G$36</f>
        <v>132.38999999999999</v>
      </c>
      <c r="H74" s="219">
        <f>AGO!$H$47</f>
        <v>4</v>
      </c>
      <c r="I74" s="100"/>
      <c r="J74" s="100"/>
      <c r="K74" s="100"/>
    </row>
    <row r="75" spans="1:11">
      <c r="A75" s="100"/>
      <c r="B75" s="100"/>
      <c r="C75" s="100"/>
      <c r="D75" s="197" t="s">
        <v>66</v>
      </c>
      <c r="E75" s="220">
        <f>Comparativo!AY22</f>
        <v>60.66</v>
      </c>
      <c r="F75" s="206">
        <f>Comparativo!AZ22</f>
        <v>3</v>
      </c>
      <c r="G75" s="96">
        <f>SEP!$G$43</f>
        <v>142.59</v>
      </c>
      <c r="H75" s="219">
        <f>SEP!$H$53</f>
        <v>3</v>
      </c>
      <c r="I75" s="100"/>
      <c r="J75" s="100"/>
      <c r="K75" s="100"/>
    </row>
    <row r="76" spans="1:11">
      <c r="A76" s="100"/>
      <c r="B76" s="100"/>
      <c r="C76" s="100"/>
      <c r="D76" s="197" t="s">
        <v>68</v>
      </c>
      <c r="E76" s="220">
        <f>Comparativo!AY23</f>
        <v>230.07</v>
      </c>
      <c r="F76" s="206">
        <f>Comparativo!AZ23</f>
        <v>6</v>
      </c>
      <c r="G76" s="220">
        <f>OCT!$G$39</f>
        <v>218.52</v>
      </c>
      <c r="H76" s="219">
        <f>OCT!$H$49</f>
        <v>4</v>
      </c>
      <c r="I76" s="100"/>
      <c r="J76" s="100"/>
      <c r="K76" s="100"/>
    </row>
    <row r="77" spans="1:11">
      <c r="A77" s="100"/>
      <c r="B77" s="100"/>
      <c r="C77" s="100"/>
      <c r="D77" s="197" t="s">
        <v>71</v>
      </c>
      <c r="E77" s="220">
        <f>Comparativo!AY24</f>
        <v>368.49</v>
      </c>
      <c r="F77" s="206">
        <f>Comparativo!AZ24</f>
        <v>10</v>
      </c>
      <c r="G77" s="96">
        <f>NOV!$G$41</f>
        <v>775.32</v>
      </c>
      <c r="H77" s="219">
        <f>NOV!$H$51</f>
        <v>13</v>
      </c>
      <c r="I77" s="100"/>
      <c r="J77" s="100"/>
      <c r="K77" s="100"/>
    </row>
    <row r="78" spans="1:11">
      <c r="A78" s="100"/>
      <c r="B78" s="100"/>
      <c r="C78" s="100"/>
      <c r="D78" s="193" t="s">
        <v>74</v>
      </c>
      <c r="E78" s="222">
        <f>Comparativo!AY25</f>
        <v>245.82</v>
      </c>
      <c r="F78" s="223">
        <f>Comparativo!AZ25</f>
        <v>6</v>
      </c>
      <c r="G78" s="222">
        <f>DIC!G41</f>
        <v>535.08000000000004</v>
      </c>
      <c r="H78" s="223">
        <f>H50</f>
        <v>11</v>
      </c>
      <c r="I78" s="100"/>
      <c r="J78" s="100"/>
      <c r="K78" s="100"/>
    </row>
    <row r="79" spans="1:11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</row>
    <row r="80" spans="1:11">
      <c r="A80" s="100"/>
      <c r="B80" s="100"/>
      <c r="C80" s="100"/>
      <c r="D80" s="100"/>
      <c r="E80" s="179">
        <f>SUM(E67:E79)</f>
        <v>4316.6099999999997</v>
      </c>
      <c r="F80" s="180">
        <f>SUM(F67:F79)</f>
        <v>123</v>
      </c>
      <c r="G80" s="179">
        <f>SUM(G67:G78)</f>
        <v>2737.5299999999997</v>
      </c>
      <c r="H80" s="180">
        <f>SUM(H67:H78)</f>
        <v>66</v>
      </c>
      <c r="I80" s="100"/>
      <c r="J80" s="100"/>
      <c r="K80" s="100"/>
    </row>
    <row r="81" spans="1:10">
      <c r="A81" s="100"/>
      <c r="B81" s="100"/>
      <c r="C81" s="100"/>
      <c r="D81" s="100"/>
      <c r="E81" s="100"/>
      <c r="F81" s="100"/>
      <c r="G81" s="100"/>
      <c r="H81" s="100"/>
      <c r="I81" s="100"/>
      <c r="J81" s="100"/>
    </row>
    <row r="82" spans="1:10">
      <c r="A82" s="100"/>
      <c r="B82" s="100"/>
      <c r="C82" s="100"/>
      <c r="D82" s="100"/>
      <c r="E82" s="100"/>
      <c r="F82" s="100"/>
      <c r="G82" s="100"/>
      <c r="H82" s="100"/>
      <c r="I82" s="100"/>
      <c r="J82" s="100"/>
    </row>
    <row r="83" spans="1:10">
      <c r="A83" s="100"/>
      <c r="B83" s="100"/>
      <c r="C83" s="100"/>
      <c r="D83" s="100"/>
      <c r="E83" s="100"/>
      <c r="F83" s="100"/>
      <c r="G83" s="100"/>
      <c r="H83" s="100"/>
      <c r="I83" s="100"/>
      <c r="J83" s="100"/>
    </row>
    <row r="84" spans="1:10">
      <c r="A84" s="100"/>
      <c r="B84" s="100"/>
      <c r="C84" s="100"/>
      <c r="D84" s="100"/>
      <c r="E84" s="100"/>
      <c r="F84" s="100"/>
      <c r="G84" s="100"/>
      <c r="H84" s="100"/>
      <c r="I84" s="100"/>
      <c r="J84" s="100"/>
    </row>
    <row r="85" spans="1:10">
      <c r="A85" s="100"/>
      <c r="B85" s="100"/>
      <c r="C85" s="100"/>
      <c r="D85" s="100"/>
      <c r="E85" s="100"/>
      <c r="F85" s="100"/>
      <c r="G85" s="100"/>
      <c r="H85" s="100"/>
      <c r="I85" s="100"/>
      <c r="J85" s="100"/>
    </row>
    <row r="86" spans="1:10">
      <c r="A86" s="100"/>
      <c r="B86" s="100"/>
      <c r="C86" s="100"/>
      <c r="D86" s="100"/>
      <c r="E86" s="100"/>
      <c r="F86" s="100"/>
      <c r="G86" s="100"/>
      <c r="H86" s="100"/>
      <c r="I86" s="100"/>
      <c r="J86" s="100"/>
    </row>
    <row r="87" spans="1:10">
      <c r="A87" s="100"/>
      <c r="B87" s="100"/>
      <c r="C87" s="100"/>
      <c r="D87" s="100"/>
      <c r="E87" s="100"/>
      <c r="F87" s="100"/>
      <c r="G87" s="100"/>
      <c r="H87" s="100"/>
      <c r="I87" s="100"/>
      <c r="J87" s="100"/>
    </row>
    <row r="88" spans="1:10">
      <c r="A88" s="100"/>
      <c r="B88" s="100"/>
      <c r="C88" s="100"/>
      <c r="D88" s="100"/>
      <c r="E88" s="100"/>
      <c r="F88" s="100"/>
      <c r="G88" s="100"/>
      <c r="H88" s="100"/>
      <c r="I88" s="100"/>
      <c r="J88" s="100"/>
    </row>
    <row r="89" spans="1:10">
      <c r="A89" s="100"/>
      <c r="B89" s="100"/>
      <c r="C89" s="100"/>
      <c r="D89" s="100"/>
      <c r="E89" s="100"/>
      <c r="F89" s="100"/>
      <c r="G89" s="100"/>
      <c r="H89" s="100"/>
      <c r="I89" s="100"/>
      <c r="J89" s="100"/>
    </row>
    <row r="90" spans="1:10">
      <c r="A90" s="100"/>
      <c r="B90" s="100"/>
      <c r="C90" s="100"/>
      <c r="D90" s="100"/>
      <c r="E90" s="100"/>
      <c r="F90" s="100"/>
      <c r="G90" s="100"/>
      <c r="H90" s="100"/>
      <c r="I90" s="100"/>
      <c r="J90" s="100"/>
    </row>
    <row r="91" spans="1:10">
      <c r="A91" s="100"/>
      <c r="B91" s="100"/>
      <c r="C91" s="100"/>
      <c r="D91" s="100"/>
      <c r="E91" s="100"/>
      <c r="F91" s="100"/>
      <c r="G91" s="100"/>
      <c r="H91" s="100"/>
      <c r="I91" s="100"/>
      <c r="J91" s="100"/>
    </row>
    <row r="92" spans="1:10">
      <c r="A92" s="100"/>
      <c r="B92" s="100"/>
      <c r="C92" s="100"/>
      <c r="D92" s="100"/>
      <c r="E92" s="100"/>
      <c r="F92" s="100"/>
      <c r="G92" s="100"/>
      <c r="H92" s="100"/>
      <c r="I92" s="100"/>
      <c r="J92" s="100"/>
    </row>
    <row r="93" spans="1:10">
      <c r="A93" s="100"/>
      <c r="B93" s="100"/>
      <c r="C93" s="100"/>
      <c r="D93" s="100"/>
      <c r="E93" s="100"/>
      <c r="F93" s="100"/>
      <c r="G93" s="100"/>
      <c r="H93" s="100"/>
      <c r="I93" s="100"/>
      <c r="J93" s="100"/>
    </row>
  </sheetData>
  <mergeCells count="102">
    <mergeCell ref="D34:E34"/>
    <mergeCell ref="H36:J36"/>
    <mergeCell ref="H37:J37"/>
    <mergeCell ref="H38:J38"/>
    <mergeCell ref="F34:G34"/>
    <mergeCell ref="C48:D48"/>
    <mergeCell ref="E48:F48"/>
    <mergeCell ref="F39:G39"/>
    <mergeCell ref="D41:E41"/>
    <mergeCell ref="E44:F44"/>
    <mergeCell ref="C44:D44"/>
    <mergeCell ref="C47:D47"/>
    <mergeCell ref="E46:F46"/>
    <mergeCell ref="D35:E35"/>
    <mergeCell ref="D37:E37"/>
    <mergeCell ref="F37:G37"/>
    <mergeCell ref="D36:E36"/>
    <mergeCell ref="C45:D45"/>
    <mergeCell ref="F35:G35"/>
    <mergeCell ref="F36:G36"/>
    <mergeCell ref="E45:F45"/>
    <mergeCell ref="D23:E23"/>
    <mergeCell ref="D24:E24"/>
    <mergeCell ref="E49:F49"/>
    <mergeCell ref="C49:D49"/>
    <mergeCell ref="D38:E38"/>
    <mergeCell ref="F38:G38"/>
    <mergeCell ref="H25:J25"/>
    <mergeCell ref="H26:J26"/>
    <mergeCell ref="H27:J27"/>
    <mergeCell ref="D30:E30"/>
    <mergeCell ref="D31:E31"/>
    <mergeCell ref="D26:E26"/>
    <mergeCell ref="D27:E27"/>
    <mergeCell ref="H28:J28"/>
    <mergeCell ref="H29:J29"/>
    <mergeCell ref="H30:J30"/>
    <mergeCell ref="H33:J33"/>
    <mergeCell ref="H34:J34"/>
    <mergeCell ref="H35:J35"/>
    <mergeCell ref="H31:J31"/>
    <mergeCell ref="F28:G28"/>
    <mergeCell ref="F29:G29"/>
    <mergeCell ref="F30:G30"/>
    <mergeCell ref="F31:G31"/>
    <mergeCell ref="E65:F65"/>
    <mergeCell ref="G65:H65"/>
    <mergeCell ref="F24:G24"/>
    <mergeCell ref="F25:G25"/>
    <mergeCell ref="E47:F47"/>
    <mergeCell ref="C56:E56"/>
    <mergeCell ref="F27:G27"/>
    <mergeCell ref="F26:G26"/>
    <mergeCell ref="D28:E28"/>
    <mergeCell ref="D29:E29"/>
    <mergeCell ref="F58:G58"/>
    <mergeCell ref="E63:H63"/>
    <mergeCell ref="E50:F50"/>
    <mergeCell ref="C54:E54"/>
    <mergeCell ref="F54:G54"/>
    <mergeCell ref="C55:E55"/>
    <mergeCell ref="F55:G55"/>
    <mergeCell ref="F56:G56"/>
    <mergeCell ref="H32:J32"/>
    <mergeCell ref="C46:D46"/>
    <mergeCell ref="D32:E32"/>
    <mergeCell ref="F32:G32"/>
    <mergeCell ref="F33:G33"/>
    <mergeCell ref="D33:E33"/>
    <mergeCell ref="D25:E25"/>
    <mergeCell ref="D20:E20"/>
    <mergeCell ref="F20:G20"/>
    <mergeCell ref="H24:J24"/>
    <mergeCell ref="D14:E14"/>
    <mergeCell ref="F14:G14"/>
    <mergeCell ref="F19:G19"/>
    <mergeCell ref="D21:E21"/>
    <mergeCell ref="F21:G21"/>
    <mergeCell ref="F22:G22"/>
    <mergeCell ref="F23:G23"/>
    <mergeCell ref="H22:J22"/>
    <mergeCell ref="H23:J23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D22:E22"/>
    <mergeCell ref="E7:H7"/>
    <mergeCell ref="D12:E12"/>
    <mergeCell ref="D13:E13"/>
    <mergeCell ref="F13:G13"/>
    <mergeCell ref="D11:E11"/>
    <mergeCell ref="F11:G11"/>
    <mergeCell ref="F12:G12"/>
    <mergeCell ref="D10:E10"/>
    <mergeCell ref="F10:G10"/>
    <mergeCell ref="H10:J10"/>
  </mergeCells>
  <phoneticPr fontId="0" type="noConversion"/>
  <pageMargins left="0.59055118110236227" right="0.75" top="1" bottom="1" header="0" footer="0"/>
  <pageSetup paperSize="9" scale="63" orientation="portrait" horizontalDpi="4294967293" verticalDpi="300" r:id="rId1"/>
  <headerFooter alignWithMargins="0"/>
  <ignoredErrors>
    <ignoredError sqref="G46" evalError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F191"/>
  <sheetViews>
    <sheetView showGridLines="0" zoomScale="90" zoomScaleNormal="90" zoomScaleSheetLayoutView="100" workbookViewId="0">
      <pane xSplit="2" ySplit="8" topLeftCell="AS13" activePane="bottomRight" state="frozen"/>
      <selection pane="bottomRight" activeCell="BG37" sqref="BG37"/>
      <selection pane="bottomLeft" activeCell="A9" sqref="A9"/>
      <selection pane="topRight" activeCell="C1" sqref="C1"/>
    </sheetView>
  </sheetViews>
  <sheetFormatPr defaultColWidth="9.140625" defaultRowHeight="12.75"/>
  <cols>
    <col min="1" max="1" width="3.140625" style="53" customWidth="1"/>
    <col min="2" max="2" width="13.85546875" style="53" customWidth="1"/>
    <col min="3" max="3" width="8.7109375" style="53" customWidth="1"/>
    <col min="4" max="4" width="14" style="53" customWidth="1"/>
    <col min="5" max="7" width="8.7109375" style="53" customWidth="1"/>
    <col min="8" max="8" width="13.7109375" style="53" customWidth="1"/>
    <col min="9" max="10" width="8.7109375" style="53" customWidth="1"/>
    <col min="11" max="11" width="10" style="53" customWidth="1"/>
    <col min="12" max="17" width="8.7109375" style="53" customWidth="1"/>
    <col min="18" max="18" width="12.140625" style="53" customWidth="1"/>
    <col min="19" max="54" width="8.7109375" style="53" customWidth="1"/>
    <col min="55" max="55" width="10.85546875" style="53" customWidth="1"/>
    <col min="56" max="260" width="11.42578125" style="53" customWidth="1"/>
    <col min="261" max="16384" width="9.140625" style="53"/>
  </cols>
  <sheetData>
    <row r="1" spans="1:58">
      <c r="A1" s="51"/>
      <c r="B1" s="52"/>
      <c r="C1" s="52"/>
      <c r="D1" s="52"/>
      <c r="E1" s="52"/>
      <c r="F1" s="52"/>
      <c r="G1" s="52"/>
      <c r="H1" s="52"/>
      <c r="I1" s="52"/>
      <c r="J1" s="51"/>
      <c r="K1" s="51"/>
      <c r="L1" s="51"/>
      <c r="M1" s="51"/>
      <c r="N1" s="51"/>
      <c r="O1" s="51"/>
      <c r="P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E1" s="54"/>
      <c r="BF1" s="54"/>
    </row>
    <row r="2" spans="1:58">
      <c r="A2" s="55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4"/>
      <c r="BD2" s="54"/>
      <c r="BE2" s="54"/>
      <c r="BF2" s="54"/>
    </row>
    <row r="3" spans="1:58">
      <c r="A3" s="55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4"/>
      <c r="BD3" s="54"/>
      <c r="BE3" s="54"/>
      <c r="BF3" s="54"/>
    </row>
    <row r="4" spans="1:58">
      <c r="A4" s="48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4"/>
      <c r="BD4" s="54"/>
      <c r="BE4" s="54"/>
      <c r="BF4" s="54"/>
    </row>
    <row r="5" spans="1:58">
      <c r="A5" s="55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4"/>
      <c r="BD5" s="54"/>
      <c r="BE5" s="54"/>
      <c r="BF5" s="54"/>
    </row>
    <row r="6" spans="1:58">
      <c r="A6" s="55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4"/>
      <c r="BD6" s="54"/>
      <c r="BE6" s="54"/>
      <c r="BF6" s="54"/>
    </row>
    <row r="7" spans="1:58">
      <c r="A7" s="55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4"/>
      <c r="BD7" s="54"/>
      <c r="BE7" s="54"/>
      <c r="BF7" s="54"/>
    </row>
    <row r="8" spans="1:58">
      <c r="A8" s="55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4"/>
      <c r="BD8" s="54"/>
      <c r="BE8" s="54"/>
      <c r="BF8" s="54"/>
    </row>
    <row r="9" spans="1:58">
      <c r="A9" s="55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4"/>
      <c r="BD9" s="54"/>
      <c r="BE9" s="54"/>
      <c r="BF9" s="54"/>
    </row>
    <row r="10" spans="1:58">
      <c r="A10" s="55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4"/>
      <c r="BD10" s="54"/>
      <c r="BE10" s="54"/>
      <c r="BF10" s="54"/>
    </row>
    <row r="11" spans="1:58" s="50" customFormat="1" ht="12.75" customHeight="1">
      <c r="A11" s="48"/>
      <c r="B11" s="113" t="s">
        <v>24</v>
      </c>
      <c r="C11" s="314">
        <v>1998</v>
      </c>
      <c r="D11" s="314"/>
      <c r="E11" s="314">
        <v>1999</v>
      </c>
      <c r="F11" s="314"/>
      <c r="G11" s="314">
        <v>2000</v>
      </c>
      <c r="H11" s="314"/>
      <c r="I11" s="314">
        <v>2001</v>
      </c>
      <c r="J11" s="314"/>
      <c r="K11" s="314">
        <v>2002</v>
      </c>
      <c r="L11" s="314"/>
      <c r="M11" s="314">
        <v>2003</v>
      </c>
      <c r="N11" s="314"/>
      <c r="O11" s="315">
        <v>2004</v>
      </c>
      <c r="P11" s="315"/>
      <c r="Q11" s="314">
        <v>2005</v>
      </c>
      <c r="R11" s="314"/>
      <c r="S11" s="315">
        <v>2006</v>
      </c>
      <c r="T11" s="315"/>
      <c r="U11" s="315">
        <v>2007</v>
      </c>
      <c r="V11" s="315"/>
      <c r="W11" s="315">
        <v>2008</v>
      </c>
      <c r="X11" s="315"/>
      <c r="Y11" s="315">
        <v>2009</v>
      </c>
      <c r="Z11" s="315"/>
      <c r="AA11" s="315">
        <v>2010</v>
      </c>
      <c r="AB11" s="315"/>
      <c r="AC11" s="315">
        <v>2011</v>
      </c>
      <c r="AD11" s="315"/>
      <c r="AE11" s="315">
        <v>2012</v>
      </c>
      <c r="AF11" s="315"/>
      <c r="AG11" s="315">
        <v>2013</v>
      </c>
      <c r="AH11" s="315"/>
      <c r="AI11" s="315">
        <v>2014</v>
      </c>
      <c r="AJ11" s="315"/>
      <c r="AK11" s="315">
        <v>2015</v>
      </c>
      <c r="AL11" s="315"/>
      <c r="AM11" s="315">
        <v>2016</v>
      </c>
      <c r="AN11" s="315"/>
      <c r="AO11" s="315">
        <v>2017</v>
      </c>
      <c r="AP11" s="315"/>
      <c r="AQ11" s="315">
        <v>2018</v>
      </c>
      <c r="AR11" s="315"/>
      <c r="AS11" s="315">
        <v>2019</v>
      </c>
      <c r="AT11" s="315"/>
      <c r="AU11" s="315">
        <v>2020</v>
      </c>
      <c r="AV11" s="315"/>
      <c r="AW11" s="315">
        <v>2021</v>
      </c>
      <c r="AX11" s="315"/>
      <c r="AY11" s="315">
        <v>2022</v>
      </c>
      <c r="AZ11" s="319"/>
      <c r="BA11" s="315">
        <v>2023</v>
      </c>
      <c r="BB11" s="319"/>
      <c r="BC11" s="320" t="s">
        <v>75</v>
      </c>
      <c r="BD11" s="49"/>
      <c r="BE11" s="49"/>
      <c r="BF11" s="49"/>
    </row>
    <row r="12" spans="1:58" s="205" customFormat="1" ht="24.75" customHeight="1">
      <c r="A12" s="200"/>
      <c r="B12" s="201" t="s">
        <v>27</v>
      </c>
      <c r="C12" s="202" t="s">
        <v>28</v>
      </c>
      <c r="D12" s="202" t="s">
        <v>29</v>
      </c>
      <c r="E12" s="202" t="s">
        <v>28</v>
      </c>
      <c r="F12" s="202" t="s">
        <v>29</v>
      </c>
      <c r="G12" s="202" t="s">
        <v>28</v>
      </c>
      <c r="H12" s="202" t="s">
        <v>29</v>
      </c>
      <c r="I12" s="202" t="s">
        <v>28</v>
      </c>
      <c r="J12" s="202" t="s">
        <v>29</v>
      </c>
      <c r="K12" s="202" t="s">
        <v>28</v>
      </c>
      <c r="L12" s="202" t="s">
        <v>29</v>
      </c>
      <c r="M12" s="202" t="s">
        <v>28</v>
      </c>
      <c r="N12" s="202" t="s">
        <v>29</v>
      </c>
      <c r="O12" s="202" t="s">
        <v>28</v>
      </c>
      <c r="P12" s="202" t="s">
        <v>29</v>
      </c>
      <c r="Q12" s="202" t="s">
        <v>28</v>
      </c>
      <c r="R12" s="203" t="s">
        <v>29</v>
      </c>
      <c r="S12" s="202" t="s">
        <v>28</v>
      </c>
      <c r="T12" s="203" t="s">
        <v>29</v>
      </c>
      <c r="U12" s="203"/>
      <c r="V12" s="203"/>
      <c r="W12" s="203" t="s">
        <v>28</v>
      </c>
      <c r="X12" s="203" t="s">
        <v>29</v>
      </c>
      <c r="Y12" s="203" t="s">
        <v>28</v>
      </c>
      <c r="Z12" s="202" t="s">
        <v>29</v>
      </c>
      <c r="AA12" s="203" t="s">
        <v>28</v>
      </c>
      <c r="AB12" s="202" t="s">
        <v>29</v>
      </c>
      <c r="AC12" s="203" t="s">
        <v>28</v>
      </c>
      <c r="AD12" s="202" t="s">
        <v>29</v>
      </c>
      <c r="AE12" s="203" t="s">
        <v>28</v>
      </c>
      <c r="AF12" s="202" t="s">
        <v>29</v>
      </c>
      <c r="AG12" s="203" t="s">
        <v>28</v>
      </c>
      <c r="AH12" s="202" t="s">
        <v>29</v>
      </c>
      <c r="AI12" s="203" t="s">
        <v>28</v>
      </c>
      <c r="AJ12" s="202" t="s">
        <v>29</v>
      </c>
      <c r="AK12" s="203" t="s">
        <v>28</v>
      </c>
      <c r="AL12" s="202" t="s">
        <v>29</v>
      </c>
      <c r="AM12" s="203" t="s">
        <v>28</v>
      </c>
      <c r="AN12" s="202" t="s">
        <v>29</v>
      </c>
      <c r="AO12" s="203" t="s">
        <v>28</v>
      </c>
      <c r="AP12" s="202" t="s">
        <v>29</v>
      </c>
      <c r="AQ12" s="203" t="s">
        <v>28</v>
      </c>
      <c r="AR12" s="202" t="s">
        <v>29</v>
      </c>
      <c r="AS12" s="203" t="s">
        <v>28</v>
      </c>
      <c r="AT12" s="202" t="s">
        <v>29</v>
      </c>
      <c r="AU12" s="203" t="s">
        <v>28</v>
      </c>
      <c r="AV12" s="202" t="s">
        <v>29</v>
      </c>
      <c r="AW12" s="203" t="s">
        <v>28</v>
      </c>
      <c r="AX12" s="202" t="s">
        <v>29</v>
      </c>
      <c r="AY12" s="203" t="s">
        <v>28</v>
      </c>
      <c r="AZ12" s="202" t="s">
        <v>29</v>
      </c>
      <c r="BA12" s="203" t="s">
        <v>28</v>
      </c>
      <c r="BB12" s="202" t="s">
        <v>29</v>
      </c>
      <c r="BC12" s="321"/>
      <c r="BD12" s="204"/>
      <c r="BE12" s="204"/>
      <c r="BF12" s="204"/>
    </row>
    <row r="13" spans="1:58">
      <c r="A13" s="48"/>
      <c r="B13" s="109" t="s">
        <v>30</v>
      </c>
      <c r="C13" s="114">
        <f>352937.53/1000</f>
        <v>352.93753000000004</v>
      </c>
      <c r="D13" s="115">
        <v>31</v>
      </c>
      <c r="E13" s="114">
        <f>515977/1000</f>
        <v>515.97699999999998</v>
      </c>
      <c r="F13" s="115">
        <v>31</v>
      </c>
      <c r="G13" s="114">
        <f>390888/1000</f>
        <v>390.88799999999998</v>
      </c>
      <c r="H13" s="115">
        <v>21</v>
      </c>
      <c r="I13" s="114">
        <f>322650/1000</f>
        <v>322.64999999999998</v>
      </c>
      <c r="J13" s="115">
        <v>3</v>
      </c>
      <c r="K13" s="114">
        <v>283.89999999999998</v>
      </c>
      <c r="L13" s="115">
        <v>4</v>
      </c>
      <c r="M13" s="114">
        <v>558.51</v>
      </c>
      <c r="N13" s="115">
        <v>8</v>
      </c>
      <c r="O13" s="116">
        <v>1803.47</v>
      </c>
      <c r="P13" s="117">
        <v>28</v>
      </c>
      <c r="Q13" s="114">
        <v>1115.21</v>
      </c>
      <c r="R13" s="115">
        <v>21</v>
      </c>
      <c r="S13" s="118">
        <v>892.19</v>
      </c>
      <c r="T13" s="119">
        <v>18</v>
      </c>
      <c r="U13" s="118">
        <v>805.61</v>
      </c>
      <c r="V13" s="119">
        <v>14</v>
      </c>
      <c r="W13" s="118">
        <v>681.06</v>
      </c>
      <c r="X13" s="119">
        <v>15</v>
      </c>
      <c r="Y13" s="114">
        <v>561.84</v>
      </c>
      <c r="Z13" s="120">
        <v>9</v>
      </c>
      <c r="AA13" s="118">
        <v>815.87</v>
      </c>
      <c r="AB13" s="119">
        <v>13</v>
      </c>
      <c r="AC13" s="118">
        <v>365.85</v>
      </c>
      <c r="AD13" s="119">
        <v>8</v>
      </c>
      <c r="AE13" s="118">
        <v>582.79999999999995</v>
      </c>
      <c r="AF13" s="119">
        <v>12</v>
      </c>
      <c r="AG13" s="118">
        <v>594.35</v>
      </c>
      <c r="AH13" s="119">
        <v>13</v>
      </c>
      <c r="AI13" s="121">
        <v>438.89</v>
      </c>
      <c r="AJ13" s="119">
        <v>9</v>
      </c>
      <c r="AK13" s="118">
        <v>447.34</v>
      </c>
      <c r="AL13" s="119">
        <v>8</v>
      </c>
      <c r="AM13" s="118">
        <v>384.96</v>
      </c>
      <c r="AN13" s="119">
        <v>9</v>
      </c>
      <c r="AO13" s="118">
        <v>375.6</v>
      </c>
      <c r="AP13" s="119">
        <v>10</v>
      </c>
      <c r="AQ13" s="118">
        <v>840.69</v>
      </c>
      <c r="AR13" s="119">
        <v>27</v>
      </c>
      <c r="AS13" s="118">
        <v>703.05</v>
      </c>
      <c r="AT13" s="119">
        <v>19</v>
      </c>
      <c r="AU13" s="121">
        <v>417.84</v>
      </c>
      <c r="AV13" s="119">
        <v>15</v>
      </c>
      <c r="AW13" s="121">
        <v>1008.93</v>
      </c>
      <c r="AX13" s="119">
        <v>32</v>
      </c>
      <c r="AY13" s="118">
        <v>559.32000000000005</v>
      </c>
      <c r="AZ13" s="119">
        <v>15</v>
      </c>
      <c r="BA13" s="118">
        <f>ENE!G67</f>
        <v>123.39</v>
      </c>
      <c r="BB13" s="119">
        <f>ENE!H67</f>
        <v>4</v>
      </c>
      <c r="BC13" s="64">
        <f>(BA13-AY13)/AY13</f>
        <v>-0.77939283415576066</v>
      </c>
      <c r="BD13" s="54"/>
      <c r="BE13" s="54"/>
      <c r="BF13" s="54"/>
    </row>
    <row r="14" spans="1:58">
      <c r="A14" s="48"/>
      <c r="B14" s="109" t="s">
        <v>34</v>
      </c>
      <c r="C14" s="114">
        <f>274907/1000</f>
        <v>274.90699999999998</v>
      </c>
      <c r="D14" s="115">
        <v>23</v>
      </c>
      <c r="E14" s="114">
        <f>532096/1000</f>
        <v>532.096</v>
      </c>
      <c r="F14" s="115">
        <v>22</v>
      </c>
      <c r="G14" s="114">
        <f>576426/1000</f>
        <v>576.42600000000004</v>
      </c>
      <c r="H14" s="115">
        <v>25</v>
      </c>
      <c r="I14" s="114">
        <f>402657/1000</f>
        <v>402.65699999999998</v>
      </c>
      <c r="J14" s="115">
        <v>4</v>
      </c>
      <c r="K14" s="114">
        <v>272.3</v>
      </c>
      <c r="L14" s="115">
        <v>4</v>
      </c>
      <c r="M14" s="114">
        <v>753.89</v>
      </c>
      <c r="N14" s="115">
        <v>11</v>
      </c>
      <c r="O14" s="116">
        <v>1387.69</v>
      </c>
      <c r="P14" s="117">
        <v>24</v>
      </c>
      <c r="Q14" s="114">
        <v>1416.16</v>
      </c>
      <c r="R14" s="115">
        <v>25</v>
      </c>
      <c r="S14" s="118">
        <v>1407.57</v>
      </c>
      <c r="T14" s="119">
        <v>25</v>
      </c>
      <c r="U14" s="118">
        <v>811.31</v>
      </c>
      <c r="V14" s="119">
        <v>13</v>
      </c>
      <c r="W14" s="118">
        <v>1530.37</v>
      </c>
      <c r="X14" s="119">
        <v>30</v>
      </c>
      <c r="Y14" s="114">
        <v>1002.49</v>
      </c>
      <c r="Z14" s="122">
        <v>16</v>
      </c>
      <c r="AA14" s="118">
        <v>803.67</v>
      </c>
      <c r="AB14" s="119">
        <v>15</v>
      </c>
      <c r="AC14" s="118">
        <v>1070.47</v>
      </c>
      <c r="AD14" s="119">
        <v>19</v>
      </c>
      <c r="AE14" s="118">
        <v>381.85</v>
      </c>
      <c r="AF14" s="119">
        <v>6</v>
      </c>
      <c r="AG14" s="118">
        <v>731.78</v>
      </c>
      <c r="AH14" s="119">
        <v>14</v>
      </c>
      <c r="AI14" s="121">
        <v>551.51</v>
      </c>
      <c r="AJ14" s="119">
        <v>11</v>
      </c>
      <c r="AK14" s="118">
        <v>536.54999999999995</v>
      </c>
      <c r="AL14" s="119">
        <v>8</v>
      </c>
      <c r="AM14" s="118">
        <v>175.95</v>
      </c>
      <c r="AN14" s="119">
        <v>5</v>
      </c>
      <c r="AO14" s="118">
        <v>438.63</v>
      </c>
      <c r="AP14" s="119">
        <v>16</v>
      </c>
      <c r="AQ14" s="118">
        <v>754.2</v>
      </c>
      <c r="AR14" s="119">
        <v>23</v>
      </c>
      <c r="AS14" s="118">
        <v>835.29</v>
      </c>
      <c r="AT14" s="119">
        <v>22</v>
      </c>
      <c r="AU14" s="121">
        <v>591.57000000000005</v>
      </c>
      <c r="AV14" s="119">
        <v>22</v>
      </c>
      <c r="AW14" s="121">
        <v>719.82</v>
      </c>
      <c r="AX14" s="119">
        <v>25</v>
      </c>
      <c r="AY14" s="118">
        <v>437.76</v>
      </c>
      <c r="AZ14" s="119">
        <v>19</v>
      </c>
      <c r="BA14" s="118">
        <f>FEB!G72</f>
        <v>176.79</v>
      </c>
      <c r="BB14" s="119">
        <f>FEB!H72</f>
        <v>6</v>
      </c>
      <c r="BC14" s="64">
        <f>(BA14-AY14)/AY14</f>
        <v>-0.59614857456140358</v>
      </c>
      <c r="BD14" s="54"/>
      <c r="BE14" s="54"/>
      <c r="BF14" s="54"/>
    </row>
    <row r="15" spans="1:58">
      <c r="A15" s="48"/>
      <c r="B15" s="109" t="s">
        <v>38</v>
      </c>
      <c r="C15" s="114">
        <f>222008/1000</f>
        <v>222.00800000000001</v>
      </c>
      <c r="D15" s="115">
        <v>18</v>
      </c>
      <c r="E15" s="114">
        <f>558775/1000</f>
        <v>558.77499999999998</v>
      </c>
      <c r="F15" s="115">
        <v>19</v>
      </c>
      <c r="G15" s="114">
        <f>240645/1000</f>
        <v>240.64500000000001</v>
      </c>
      <c r="H15" s="115">
        <v>17</v>
      </c>
      <c r="I15" s="114">
        <f>546693/1000</f>
        <v>546.69299999999998</v>
      </c>
      <c r="J15" s="115">
        <v>9</v>
      </c>
      <c r="K15" s="114">
        <v>323.31</v>
      </c>
      <c r="L15" s="115">
        <v>6</v>
      </c>
      <c r="M15" s="114">
        <v>801.94</v>
      </c>
      <c r="N15" s="115">
        <v>14</v>
      </c>
      <c r="O15" s="116">
        <v>1681.26</v>
      </c>
      <c r="P15" s="117">
        <v>28</v>
      </c>
      <c r="Q15" s="114">
        <v>1195.19</v>
      </c>
      <c r="R15" s="115">
        <v>25</v>
      </c>
      <c r="S15" s="118">
        <v>1036.2</v>
      </c>
      <c r="T15" s="119">
        <v>17</v>
      </c>
      <c r="U15" s="118">
        <v>1349.31</v>
      </c>
      <c r="V15" s="119">
        <v>22</v>
      </c>
      <c r="W15" s="118">
        <v>776.01</v>
      </c>
      <c r="X15" s="119">
        <v>13</v>
      </c>
      <c r="Y15" s="114">
        <v>1264.43</v>
      </c>
      <c r="Z15" s="122">
        <v>20</v>
      </c>
      <c r="AA15" s="118">
        <v>1155.1400000000001</v>
      </c>
      <c r="AB15" s="119">
        <v>20</v>
      </c>
      <c r="AC15" s="118">
        <v>1086.32</v>
      </c>
      <c r="AD15" s="119">
        <v>19</v>
      </c>
      <c r="AE15" s="118">
        <v>978.56</v>
      </c>
      <c r="AF15" s="119">
        <v>15</v>
      </c>
      <c r="AG15" s="118">
        <v>657.49</v>
      </c>
      <c r="AH15" s="119">
        <v>14</v>
      </c>
      <c r="AI15" s="121">
        <v>885.87</v>
      </c>
      <c r="AJ15" s="119">
        <v>17</v>
      </c>
      <c r="AK15" s="118">
        <v>576.9</v>
      </c>
      <c r="AL15" s="119">
        <v>10</v>
      </c>
      <c r="AM15" s="118">
        <v>188.67</v>
      </c>
      <c r="AN15" s="119">
        <v>5</v>
      </c>
      <c r="AO15" s="118">
        <v>131.1</v>
      </c>
      <c r="AP15" s="119">
        <v>6</v>
      </c>
      <c r="AQ15" s="118">
        <v>748.95</v>
      </c>
      <c r="AR15" s="119">
        <v>22</v>
      </c>
      <c r="AS15" s="118">
        <v>1119.3900000000001</v>
      </c>
      <c r="AT15" s="119">
        <v>29</v>
      </c>
      <c r="AU15" s="121">
        <v>408.24</v>
      </c>
      <c r="AV15" s="119">
        <v>13</v>
      </c>
      <c r="AW15" s="121">
        <v>815.73</v>
      </c>
      <c r="AX15" s="119">
        <v>26</v>
      </c>
      <c r="AY15" s="118">
        <v>541.5</v>
      </c>
      <c r="AZ15" s="119">
        <v>15</v>
      </c>
      <c r="BA15" s="118">
        <f>MAR!G65</f>
        <v>370.56</v>
      </c>
      <c r="BB15" s="119">
        <f>MAR!H65</f>
        <v>11</v>
      </c>
      <c r="BC15" s="64">
        <f t="shared" ref="BC15:BC27" si="0">(BA15-AY15)/AY15</f>
        <v>-0.31567867036011082</v>
      </c>
      <c r="BD15" s="54"/>
      <c r="BE15" s="54"/>
      <c r="BF15" s="54"/>
    </row>
    <row r="16" spans="1:58">
      <c r="A16" s="48"/>
      <c r="B16" s="109" t="s">
        <v>44</v>
      </c>
      <c r="C16" s="114">
        <f>637682.85/1000</f>
        <v>637.68285000000003</v>
      </c>
      <c r="D16" s="115">
        <v>20</v>
      </c>
      <c r="E16" s="114">
        <f>425923/1000</f>
        <v>425.923</v>
      </c>
      <c r="F16" s="115">
        <v>21</v>
      </c>
      <c r="G16" s="114">
        <f>128440/1000</f>
        <v>128.44</v>
      </c>
      <c r="H16" s="115">
        <v>8</v>
      </c>
      <c r="I16" s="114">
        <f>436620/1000</f>
        <v>436.62</v>
      </c>
      <c r="J16" s="115">
        <v>5</v>
      </c>
      <c r="K16" s="114">
        <v>499.13</v>
      </c>
      <c r="L16" s="115">
        <v>8</v>
      </c>
      <c r="M16" s="114">
        <v>816.02</v>
      </c>
      <c r="N16" s="115">
        <v>16</v>
      </c>
      <c r="O16" s="116">
        <v>1239.72</v>
      </c>
      <c r="P16" s="117">
        <v>24</v>
      </c>
      <c r="Q16" s="114">
        <v>1908.04</v>
      </c>
      <c r="R16" s="115">
        <v>38</v>
      </c>
      <c r="S16" s="118">
        <v>754.32</v>
      </c>
      <c r="T16" s="119">
        <v>14</v>
      </c>
      <c r="U16" s="118">
        <v>1141.5899999999999</v>
      </c>
      <c r="V16" s="119">
        <v>18</v>
      </c>
      <c r="W16" s="118">
        <v>696.96</v>
      </c>
      <c r="X16" s="119">
        <v>14</v>
      </c>
      <c r="Y16" s="114">
        <v>1049.3</v>
      </c>
      <c r="Z16" s="122">
        <v>19</v>
      </c>
      <c r="AA16" s="118">
        <v>906.86</v>
      </c>
      <c r="AB16" s="119">
        <v>17</v>
      </c>
      <c r="AC16" s="118">
        <v>1150.77</v>
      </c>
      <c r="AD16" s="119">
        <v>16</v>
      </c>
      <c r="AE16" s="118">
        <v>923.73</v>
      </c>
      <c r="AF16" s="119">
        <v>14</v>
      </c>
      <c r="AG16" s="118">
        <v>763.78</v>
      </c>
      <c r="AH16" s="119">
        <v>24</v>
      </c>
      <c r="AI16" s="121">
        <v>800.16</v>
      </c>
      <c r="AJ16" s="119">
        <v>13</v>
      </c>
      <c r="AK16" s="118">
        <v>344.6</v>
      </c>
      <c r="AL16" s="119">
        <v>6</v>
      </c>
      <c r="AM16" s="118">
        <v>63</v>
      </c>
      <c r="AN16" s="119">
        <v>2</v>
      </c>
      <c r="AO16" s="118">
        <v>280.98</v>
      </c>
      <c r="AP16" s="119">
        <v>10</v>
      </c>
      <c r="AQ16" s="118">
        <v>468.21</v>
      </c>
      <c r="AR16" s="119">
        <v>13</v>
      </c>
      <c r="AS16" s="118">
        <v>501.99</v>
      </c>
      <c r="AT16" s="119">
        <v>13</v>
      </c>
      <c r="AU16" s="121">
        <v>188.13</v>
      </c>
      <c r="AV16" s="119">
        <v>6</v>
      </c>
      <c r="AW16" s="121">
        <v>323.73</v>
      </c>
      <c r="AX16" s="119">
        <v>11</v>
      </c>
      <c r="AY16" s="118">
        <v>509.58</v>
      </c>
      <c r="AZ16" s="119">
        <v>18</v>
      </c>
      <c r="BA16" s="118">
        <f>ABR!G65</f>
        <v>201.99</v>
      </c>
      <c r="BB16" s="119">
        <f>ABR!H65</f>
        <v>8</v>
      </c>
      <c r="BC16" s="64">
        <f t="shared" si="0"/>
        <v>-0.60361474155186623</v>
      </c>
      <c r="BD16" s="54"/>
      <c r="BE16" s="54"/>
      <c r="BF16" s="54"/>
    </row>
    <row r="17" spans="1:58">
      <c r="A17" s="48"/>
      <c r="B17" s="109" t="s">
        <v>46</v>
      </c>
      <c r="C17" s="114">
        <f>162044/1000</f>
        <v>162.04400000000001</v>
      </c>
      <c r="D17" s="115">
        <v>11</v>
      </c>
      <c r="E17" s="114">
        <f>499084/1000</f>
        <v>499.084</v>
      </c>
      <c r="F17" s="115">
        <v>19</v>
      </c>
      <c r="G17" s="114">
        <f>142898/1000</f>
        <v>142.898</v>
      </c>
      <c r="H17" s="115">
        <v>12</v>
      </c>
      <c r="I17" s="114">
        <f>463140/1000</f>
        <v>463.14</v>
      </c>
      <c r="J17" s="115">
        <v>5</v>
      </c>
      <c r="K17" s="114">
        <v>439.51</v>
      </c>
      <c r="L17" s="115">
        <v>8</v>
      </c>
      <c r="M17" s="114">
        <v>946.61</v>
      </c>
      <c r="N17" s="115">
        <v>18</v>
      </c>
      <c r="O17" s="116">
        <v>1369.43</v>
      </c>
      <c r="P17" s="117">
        <v>24</v>
      </c>
      <c r="Q17" s="114">
        <v>1476.65</v>
      </c>
      <c r="R17" s="115">
        <v>31</v>
      </c>
      <c r="S17" s="118">
        <v>685.97</v>
      </c>
      <c r="T17" s="119">
        <v>13</v>
      </c>
      <c r="U17" s="118">
        <v>1105.8699999999999</v>
      </c>
      <c r="V17" s="119">
        <v>16</v>
      </c>
      <c r="W17" s="118">
        <v>475.63</v>
      </c>
      <c r="X17" s="119">
        <v>8</v>
      </c>
      <c r="Y17" s="116">
        <v>630.75</v>
      </c>
      <c r="Z17" s="122">
        <v>11</v>
      </c>
      <c r="AA17" s="118">
        <v>901.78</v>
      </c>
      <c r="AB17" s="119">
        <v>14</v>
      </c>
      <c r="AC17" s="118">
        <v>668.75</v>
      </c>
      <c r="AD17" s="119">
        <v>11</v>
      </c>
      <c r="AE17" s="118">
        <v>716.04</v>
      </c>
      <c r="AF17" s="119">
        <v>12</v>
      </c>
      <c r="AG17" s="118">
        <v>613</v>
      </c>
      <c r="AH17" s="119">
        <v>20</v>
      </c>
      <c r="AI17" s="121">
        <v>1020.73</v>
      </c>
      <c r="AJ17" s="119">
        <v>17</v>
      </c>
      <c r="AK17" s="118">
        <v>99.4</v>
      </c>
      <c r="AL17" s="119">
        <v>3</v>
      </c>
      <c r="AM17" s="118">
        <v>167.07</v>
      </c>
      <c r="AN17" s="119">
        <v>5</v>
      </c>
      <c r="AO17" s="118">
        <v>217.35</v>
      </c>
      <c r="AP17" s="119">
        <v>7</v>
      </c>
      <c r="AQ17" s="118">
        <v>33.99</v>
      </c>
      <c r="AR17" s="119">
        <v>1</v>
      </c>
      <c r="AS17" s="118">
        <v>410.58</v>
      </c>
      <c r="AT17" s="119">
        <v>11</v>
      </c>
      <c r="AU17" s="121">
        <v>279.93</v>
      </c>
      <c r="AV17" s="119">
        <v>8</v>
      </c>
      <c r="AW17" s="121">
        <v>142.35</v>
      </c>
      <c r="AX17" s="119">
        <v>6</v>
      </c>
      <c r="AY17" s="118">
        <v>38.22</v>
      </c>
      <c r="AZ17" s="119">
        <v>2</v>
      </c>
      <c r="BA17" s="118">
        <f>MAY!G67</f>
        <v>60.9</v>
      </c>
      <c r="BB17" s="119">
        <f>MAY!H67</f>
        <v>2</v>
      </c>
      <c r="BC17" s="64">
        <f t="shared" si="0"/>
        <v>0.59340659340659341</v>
      </c>
      <c r="BD17" s="54"/>
      <c r="BE17" s="54"/>
      <c r="BF17" s="54"/>
    </row>
    <row r="18" spans="1:58">
      <c r="A18" s="48"/>
      <c r="B18" s="109" t="s">
        <v>48</v>
      </c>
      <c r="C18" s="114">
        <f>549246/1000</f>
        <v>549.24599999999998</v>
      </c>
      <c r="D18" s="115">
        <v>16</v>
      </c>
      <c r="E18" s="114">
        <f>650381/1000</f>
        <v>650.38099999999997</v>
      </c>
      <c r="F18" s="115">
        <v>24</v>
      </c>
      <c r="G18" s="114">
        <f>102949/1000</f>
        <v>102.949</v>
      </c>
      <c r="H18" s="115">
        <v>10</v>
      </c>
      <c r="I18" s="114">
        <f>1527070/1000</f>
        <v>1527.07</v>
      </c>
      <c r="J18" s="115">
        <v>11</v>
      </c>
      <c r="K18" s="114">
        <v>245.03</v>
      </c>
      <c r="L18" s="115">
        <v>3</v>
      </c>
      <c r="M18" s="114">
        <v>867.68</v>
      </c>
      <c r="N18" s="115">
        <v>18</v>
      </c>
      <c r="O18" s="116">
        <v>1047.78</v>
      </c>
      <c r="P18" s="117">
        <v>19</v>
      </c>
      <c r="Q18" s="114">
        <v>1109.3599999999999</v>
      </c>
      <c r="R18" s="115">
        <v>29</v>
      </c>
      <c r="S18" s="118">
        <v>985.92</v>
      </c>
      <c r="T18" s="119">
        <v>17</v>
      </c>
      <c r="U18" s="118">
        <v>895.82</v>
      </c>
      <c r="V18" s="119">
        <v>16</v>
      </c>
      <c r="W18" s="118">
        <v>842.5</v>
      </c>
      <c r="X18" s="119">
        <v>12</v>
      </c>
      <c r="Y18" s="114">
        <v>347.04</v>
      </c>
      <c r="Z18" s="122">
        <v>9</v>
      </c>
      <c r="AA18" s="118">
        <v>585.04999999999995</v>
      </c>
      <c r="AB18" s="119">
        <v>9</v>
      </c>
      <c r="AC18" s="118">
        <v>881.08</v>
      </c>
      <c r="AD18" s="119">
        <v>13</v>
      </c>
      <c r="AE18" s="118">
        <v>784.71</v>
      </c>
      <c r="AF18" s="119">
        <v>13</v>
      </c>
      <c r="AG18" s="118">
        <v>606.23</v>
      </c>
      <c r="AH18" s="119">
        <v>10</v>
      </c>
      <c r="AI18" s="121">
        <v>157.5</v>
      </c>
      <c r="AJ18" s="119">
        <v>3</v>
      </c>
      <c r="AK18" s="118">
        <v>163.80000000000001</v>
      </c>
      <c r="AL18" s="119">
        <v>2</v>
      </c>
      <c r="AM18" s="118">
        <v>244.23</v>
      </c>
      <c r="AN18" s="119">
        <v>6</v>
      </c>
      <c r="AO18" s="118">
        <v>0</v>
      </c>
      <c r="AP18" s="119">
        <v>0</v>
      </c>
      <c r="AQ18" s="118">
        <v>0</v>
      </c>
      <c r="AR18" s="119">
        <v>0</v>
      </c>
      <c r="AS18" s="118">
        <v>183.39</v>
      </c>
      <c r="AT18" s="119">
        <v>5</v>
      </c>
      <c r="AU18" s="121">
        <v>202.08</v>
      </c>
      <c r="AV18" s="119">
        <v>7</v>
      </c>
      <c r="AW18" s="121">
        <v>189.81</v>
      </c>
      <c r="AX18" s="119">
        <v>6</v>
      </c>
      <c r="AY18" s="118">
        <v>136.56</v>
      </c>
      <c r="AZ18" s="119">
        <v>2</v>
      </c>
      <c r="BA18" s="118">
        <f>JUN!G62</f>
        <v>0</v>
      </c>
      <c r="BB18" s="119">
        <f>JUN!H62</f>
        <v>0</v>
      </c>
      <c r="BC18" s="64">
        <f t="shared" si="0"/>
        <v>-1</v>
      </c>
      <c r="BD18" s="54"/>
      <c r="BE18" s="54"/>
      <c r="BF18" s="54"/>
    </row>
    <row r="19" spans="1:58">
      <c r="A19" s="48"/>
      <c r="B19" s="110" t="s">
        <v>76</v>
      </c>
      <c r="C19" s="123">
        <f>SUM(C13:C18)</f>
        <v>2198.8253800000002</v>
      </c>
      <c r="D19" s="124">
        <f>SUM(D13:D18)</f>
        <v>119</v>
      </c>
      <c r="E19" s="123">
        <f t="shared" ref="E19:L19" si="1">SUM(E13:E18)</f>
        <v>3182.2359999999999</v>
      </c>
      <c r="F19" s="124">
        <f t="shared" si="1"/>
        <v>136</v>
      </c>
      <c r="G19" s="123">
        <f t="shared" si="1"/>
        <v>1582.2460000000001</v>
      </c>
      <c r="H19" s="124">
        <f t="shared" si="1"/>
        <v>93</v>
      </c>
      <c r="I19" s="123">
        <f t="shared" si="1"/>
        <v>3698.83</v>
      </c>
      <c r="J19" s="125">
        <f t="shared" si="1"/>
        <v>37</v>
      </c>
      <c r="K19" s="123">
        <f t="shared" si="1"/>
        <v>2063.1799999999998</v>
      </c>
      <c r="L19" s="125">
        <f t="shared" si="1"/>
        <v>33</v>
      </c>
      <c r="M19" s="123">
        <f>SUM(M13:M18)</f>
        <v>4744.6500000000005</v>
      </c>
      <c r="N19" s="124">
        <f>SUM(N13:N18)</f>
        <v>85</v>
      </c>
      <c r="O19" s="126">
        <f>SUM(O13:O18)</f>
        <v>8529.35</v>
      </c>
      <c r="P19" s="125">
        <f>SUM(P13:P18)</f>
        <v>147</v>
      </c>
      <c r="Q19" s="123">
        <v>8220.61</v>
      </c>
      <c r="R19" s="124">
        <v>169</v>
      </c>
      <c r="S19" s="127">
        <f t="shared" ref="S19:Z19" si="2">SUM(S13:S18)</f>
        <v>5762.17</v>
      </c>
      <c r="T19" s="128">
        <f t="shared" si="2"/>
        <v>104</v>
      </c>
      <c r="U19" s="127">
        <f t="shared" si="2"/>
        <v>6109.5099999999993</v>
      </c>
      <c r="V19" s="128">
        <f t="shared" si="2"/>
        <v>99</v>
      </c>
      <c r="W19" s="127">
        <f t="shared" si="2"/>
        <v>5002.53</v>
      </c>
      <c r="X19" s="128">
        <f t="shared" si="2"/>
        <v>92</v>
      </c>
      <c r="Y19" s="126">
        <f t="shared" si="2"/>
        <v>4855.8500000000004</v>
      </c>
      <c r="Z19" s="129">
        <f t="shared" si="2"/>
        <v>84</v>
      </c>
      <c r="AA19" s="127">
        <f>SUM(AA13:AA18)</f>
        <v>5168.3700000000008</v>
      </c>
      <c r="AB19" s="128">
        <f>SUM(AB13:AB18)</f>
        <v>88</v>
      </c>
      <c r="AC19" s="130">
        <v>5223.24</v>
      </c>
      <c r="AD19" s="128">
        <v>86</v>
      </c>
      <c r="AE19" s="130">
        <v>4367.6899999999996</v>
      </c>
      <c r="AF19" s="128">
        <f>SUM(AF13:AF18)</f>
        <v>72</v>
      </c>
      <c r="AG19" s="130">
        <f>SUM(AG13:AG18)</f>
        <v>3966.63</v>
      </c>
      <c r="AH19" s="131">
        <f>SUM(AH13:AH18)</f>
        <v>95</v>
      </c>
      <c r="AI19" s="130">
        <f>SUM(AI13:AI18)</f>
        <v>3854.66</v>
      </c>
      <c r="AJ19" s="131">
        <v>70</v>
      </c>
      <c r="AK19" s="130">
        <f>SUM(AK13:AK18)</f>
        <v>2168.59</v>
      </c>
      <c r="AL19" s="131">
        <f t="shared" ref="AL19:BB19" si="3">SUM(AL13:AL18)</f>
        <v>37</v>
      </c>
      <c r="AM19" s="130">
        <f>SUM(AM13:AM18)</f>
        <v>1223.8799999999999</v>
      </c>
      <c r="AN19" s="131">
        <f t="shared" si="3"/>
        <v>32</v>
      </c>
      <c r="AO19" s="130">
        <f>SUM(AO13:AO18)</f>
        <v>1443.6599999999999</v>
      </c>
      <c r="AP19" s="131">
        <f t="shared" si="3"/>
        <v>49</v>
      </c>
      <c r="AQ19" s="130">
        <f>SUM(AQ13:AQ18)</f>
        <v>2846.04</v>
      </c>
      <c r="AR19" s="131">
        <f t="shared" si="3"/>
        <v>86</v>
      </c>
      <c r="AS19" s="130">
        <f>SUM(AS13:AS18)</f>
        <v>3753.69</v>
      </c>
      <c r="AT19" s="131">
        <f t="shared" si="3"/>
        <v>99</v>
      </c>
      <c r="AU19" s="130">
        <f>SUM(AU13:AU18)</f>
        <v>2087.7900000000004</v>
      </c>
      <c r="AV19" s="131">
        <f t="shared" si="3"/>
        <v>71</v>
      </c>
      <c r="AW19" s="130">
        <f>SUM(AW13:AW18)</f>
        <v>3200.37</v>
      </c>
      <c r="AX19" s="131">
        <f t="shared" si="3"/>
        <v>106</v>
      </c>
      <c r="AY19" s="130">
        <f>SUM(AY13:AY18)</f>
        <v>2222.9399999999996</v>
      </c>
      <c r="AZ19" s="131">
        <f t="shared" si="3"/>
        <v>71</v>
      </c>
      <c r="BA19" s="130">
        <f>SUM(BA13:BA18)</f>
        <v>933.63</v>
      </c>
      <c r="BB19" s="131">
        <f t="shared" si="3"/>
        <v>31</v>
      </c>
      <c r="BC19" s="64"/>
      <c r="BD19" s="54"/>
      <c r="BE19" s="54"/>
      <c r="BF19" s="54"/>
    </row>
    <row r="20" spans="1:58">
      <c r="A20" s="48"/>
      <c r="B20" s="109" t="s">
        <v>57</v>
      </c>
      <c r="C20" s="114">
        <f>263044.84/1000</f>
        <v>263.04484000000002</v>
      </c>
      <c r="D20" s="115">
        <v>19</v>
      </c>
      <c r="E20" s="114">
        <f>295129/1000</f>
        <v>295.12900000000002</v>
      </c>
      <c r="F20" s="115">
        <v>21</v>
      </c>
      <c r="G20" s="114">
        <f>18177/1000</f>
        <v>18.177</v>
      </c>
      <c r="H20" s="115">
        <v>4</v>
      </c>
      <c r="I20" s="114">
        <f>687861/1000</f>
        <v>687.86099999999999</v>
      </c>
      <c r="J20" s="115">
        <v>13</v>
      </c>
      <c r="K20" s="114">
        <v>196</v>
      </c>
      <c r="L20" s="115">
        <v>3</v>
      </c>
      <c r="M20" s="114">
        <v>2687.96</v>
      </c>
      <c r="N20" s="115">
        <v>24</v>
      </c>
      <c r="O20" s="116">
        <v>615.02</v>
      </c>
      <c r="P20" s="117">
        <v>16</v>
      </c>
      <c r="Q20" s="114">
        <v>879.89</v>
      </c>
      <c r="R20" s="115">
        <v>17</v>
      </c>
      <c r="S20" s="118">
        <v>1012.5</v>
      </c>
      <c r="T20" s="119">
        <v>16</v>
      </c>
      <c r="U20" s="118">
        <v>807.1</v>
      </c>
      <c r="V20" s="119">
        <v>13</v>
      </c>
      <c r="W20" s="118">
        <v>897.95</v>
      </c>
      <c r="X20" s="119">
        <v>16</v>
      </c>
      <c r="Y20" s="114">
        <v>264.60000000000002</v>
      </c>
      <c r="Z20" s="122">
        <v>7</v>
      </c>
      <c r="AA20" s="118">
        <v>1100.45</v>
      </c>
      <c r="AB20" s="119">
        <v>19</v>
      </c>
      <c r="AC20" s="118">
        <v>527.62</v>
      </c>
      <c r="AD20" s="119">
        <v>9</v>
      </c>
      <c r="AE20" s="118">
        <v>1065.08</v>
      </c>
      <c r="AF20" s="119">
        <v>15</v>
      </c>
      <c r="AG20" s="118">
        <v>381.44</v>
      </c>
      <c r="AH20" s="119">
        <v>7</v>
      </c>
      <c r="AI20" s="118">
        <v>264.93</v>
      </c>
      <c r="AJ20" s="119">
        <v>4</v>
      </c>
      <c r="AK20" s="118">
        <v>174.12</v>
      </c>
      <c r="AL20" s="119">
        <v>3</v>
      </c>
      <c r="AM20" s="118">
        <v>123.06</v>
      </c>
      <c r="AN20" s="119">
        <v>3</v>
      </c>
      <c r="AO20" s="118">
        <v>93.12</v>
      </c>
      <c r="AP20" s="119">
        <v>2</v>
      </c>
      <c r="AQ20" s="118">
        <v>36.15</v>
      </c>
      <c r="AR20" s="119">
        <v>1</v>
      </c>
      <c r="AS20" s="118">
        <v>149.79</v>
      </c>
      <c r="AT20" s="119">
        <v>4</v>
      </c>
      <c r="AU20" s="121">
        <v>178.92</v>
      </c>
      <c r="AV20" s="119">
        <v>6</v>
      </c>
      <c r="AW20" s="121">
        <v>288.27</v>
      </c>
      <c r="AX20" s="119">
        <v>7</v>
      </c>
      <c r="AY20" s="118">
        <v>380.88</v>
      </c>
      <c r="AZ20" s="119">
        <v>6</v>
      </c>
      <c r="BA20" s="118">
        <f>+JUL!G63</f>
        <v>0</v>
      </c>
      <c r="BB20" s="119">
        <f>JUL!H63</f>
        <v>0</v>
      </c>
      <c r="BC20" s="64">
        <f t="shared" si="0"/>
        <v>-1</v>
      </c>
      <c r="BD20" s="54"/>
      <c r="BE20" s="54"/>
      <c r="BF20" s="54"/>
    </row>
    <row r="21" spans="1:58">
      <c r="A21" s="48"/>
      <c r="B21" s="109" t="s">
        <v>62</v>
      </c>
      <c r="C21" s="114">
        <f>873846.52/1000</f>
        <v>873.84652000000006</v>
      </c>
      <c r="D21" s="115">
        <v>33</v>
      </c>
      <c r="E21" s="114">
        <f>64031/1000</f>
        <v>64.031000000000006</v>
      </c>
      <c r="F21" s="115">
        <v>18</v>
      </c>
      <c r="G21" s="114">
        <f>140860/1000</f>
        <v>140.86000000000001</v>
      </c>
      <c r="H21" s="115">
        <v>3</v>
      </c>
      <c r="I21" s="114">
        <f>1332491/1000</f>
        <v>1332.491</v>
      </c>
      <c r="J21" s="115">
        <v>17</v>
      </c>
      <c r="K21" s="114">
        <v>298.36</v>
      </c>
      <c r="L21" s="115">
        <v>5</v>
      </c>
      <c r="M21" s="114">
        <v>2681.61</v>
      </c>
      <c r="N21" s="115">
        <v>31</v>
      </c>
      <c r="O21" s="116">
        <v>1616.9</v>
      </c>
      <c r="P21" s="117">
        <v>30</v>
      </c>
      <c r="Q21" s="114">
        <v>2001.11</v>
      </c>
      <c r="R21" s="115">
        <v>41</v>
      </c>
      <c r="S21" s="118">
        <v>1155.5899999999999</v>
      </c>
      <c r="T21" s="119">
        <v>18</v>
      </c>
      <c r="U21" s="118">
        <v>1383.89</v>
      </c>
      <c r="V21" s="119">
        <v>23</v>
      </c>
      <c r="W21" s="118">
        <v>855.18</v>
      </c>
      <c r="X21" s="119">
        <v>15</v>
      </c>
      <c r="Y21" s="114">
        <v>240.6</v>
      </c>
      <c r="Z21" s="122">
        <v>5</v>
      </c>
      <c r="AA21" s="118">
        <v>1032.3399999999999</v>
      </c>
      <c r="AB21" s="119">
        <v>18</v>
      </c>
      <c r="AC21" s="118">
        <v>777.41</v>
      </c>
      <c r="AD21" s="119">
        <v>13</v>
      </c>
      <c r="AE21" s="118">
        <v>796.05</v>
      </c>
      <c r="AF21" s="119">
        <v>10</v>
      </c>
      <c r="AG21" s="118">
        <v>570.65</v>
      </c>
      <c r="AH21" s="119">
        <v>13</v>
      </c>
      <c r="AI21" s="118">
        <v>308.79000000000002</v>
      </c>
      <c r="AJ21" s="119">
        <v>6</v>
      </c>
      <c r="AK21" s="118">
        <v>201.45</v>
      </c>
      <c r="AL21" s="119">
        <v>4</v>
      </c>
      <c r="AM21" s="118">
        <v>184.59</v>
      </c>
      <c r="AN21" s="119">
        <v>5</v>
      </c>
      <c r="AO21" s="118">
        <v>149.66999999999999</v>
      </c>
      <c r="AP21" s="119">
        <v>4</v>
      </c>
      <c r="AQ21" s="118">
        <v>0</v>
      </c>
      <c r="AR21" s="119">
        <v>0</v>
      </c>
      <c r="AS21" s="118">
        <v>248.64</v>
      </c>
      <c r="AT21" s="119">
        <v>6</v>
      </c>
      <c r="AU21" s="121">
        <v>155.82</v>
      </c>
      <c r="AV21" s="119">
        <v>6</v>
      </c>
      <c r="AW21" s="121">
        <v>642.03</v>
      </c>
      <c r="AX21" s="119">
        <v>12</v>
      </c>
      <c r="AY21" s="118">
        <v>807.75</v>
      </c>
      <c r="AZ21" s="119">
        <v>21</v>
      </c>
      <c r="BA21" s="118">
        <f>+AGO!G65</f>
        <v>132.38999999999999</v>
      </c>
      <c r="BB21" s="119">
        <f>AGO!H65</f>
        <v>4</v>
      </c>
      <c r="BC21" s="64">
        <f t="shared" si="0"/>
        <v>-0.83610027855153202</v>
      </c>
      <c r="BD21" s="54"/>
      <c r="BE21" s="54"/>
      <c r="BF21" s="54"/>
    </row>
    <row r="22" spans="1:58">
      <c r="A22" s="48"/>
      <c r="B22" s="109" t="s">
        <v>66</v>
      </c>
      <c r="C22" s="114">
        <f>1202886.5/1000</f>
        <v>1202.8865000000001</v>
      </c>
      <c r="D22" s="115">
        <v>57</v>
      </c>
      <c r="E22" s="114">
        <f>42500/1000</f>
        <v>42.5</v>
      </c>
      <c r="F22" s="115">
        <v>14</v>
      </c>
      <c r="G22" s="114">
        <f>67600/1000</f>
        <v>67.599999999999994</v>
      </c>
      <c r="H22" s="115">
        <v>1</v>
      </c>
      <c r="I22" s="114">
        <f>594550/1000</f>
        <v>594.54999999999995</v>
      </c>
      <c r="J22" s="115">
        <v>9</v>
      </c>
      <c r="K22" s="114">
        <v>609.23</v>
      </c>
      <c r="L22" s="115">
        <v>9</v>
      </c>
      <c r="M22" s="114">
        <v>3825.39</v>
      </c>
      <c r="N22" s="115">
        <v>46</v>
      </c>
      <c r="O22" s="116">
        <v>2907.41</v>
      </c>
      <c r="P22" s="117">
        <v>54</v>
      </c>
      <c r="Q22" s="114">
        <v>3075.71</v>
      </c>
      <c r="R22" s="115">
        <v>62</v>
      </c>
      <c r="S22" s="118">
        <v>1328.35</v>
      </c>
      <c r="T22" s="119">
        <v>21</v>
      </c>
      <c r="U22" s="118">
        <v>1646.03</v>
      </c>
      <c r="V22" s="119">
        <v>32</v>
      </c>
      <c r="W22" s="118">
        <v>1116.3</v>
      </c>
      <c r="X22" s="119">
        <v>20</v>
      </c>
      <c r="Y22" s="114">
        <v>219.39</v>
      </c>
      <c r="Z22" s="122">
        <v>5</v>
      </c>
      <c r="AA22" s="118">
        <v>1209.8399999999999</v>
      </c>
      <c r="AB22" s="119">
        <v>19</v>
      </c>
      <c r="AC22" s="118">
        <v>909.19</v>
      </c>
      <c r="AD22" s="119">
        <v>14</v>
      </c>
      <c r="AE22" s="118">
        <v>546.84</v>
      </c>
      <c r="AF22" s="119">
        <v>11</v>
      </c>
      <c r="AG22" s="118">
        <v>686.85</v>
      </c>
      <c r="AH22" s="119">
        <v>17</v>
      </c>
      <c r="AI22" s="118">
        <v>494.46</v>
      </c>
      <c r="AJ22" s="119">
        <v>8</v>
      </c>
      <c r="AK22" s="118">
        <v>101.16</v>
      </c>
      <c r="AL22" s="119">
        <v>2</v>
      </c>
      <c r="AM22" s="118">
        <v>170.22</v>
      </c>
      <c r="AN22" s="119">
        <v>6</v>
      </c>
      <c r="AO22" s="118">
        <v>112.11</v>
      </c>
      <c r="AP22" s="119">
        <v>4</v>
      </c>
      <c r="AQ22" s="118">
        <v>142.32</v>
      </c>
      <c r="AR22" s="119">
        <v>2</v>
      </c>
      <c r="AS22" s="118">
        <v>222.96</v>
      </c>
      <c r="AT22" s="119">
        <v>6</v>
      </c>
      <c r="AU22" s="121">
        <v>414.9</v>
      </c>
      <c r="AV22" s="119">
        <v>11</v>
      </c>
      <c r="AW22" s="121">
        <v>288.39</v>
      </c>
      <c r="AX22" s="119">
        <v>7</v>
      </c>
      <c r="AY22" s="118">
        <v>60.66</v>
      </c>
      <c r="AZ22" s="119">
        <v>3</v>
      </c>
      <c r="BA22" s="118">
        <f>+SEP!G79</f>
        <v>142.59</v>
      </c>
      <c r="BB22" s="119">
        <f>SEP!H79</f>
        <v>3</v>
      </c>
      <c r="BC22" s="64">
        <f t="shared" si="0"/>
        <v>1.3506429277942633</v>
      </c>
      <c r="BD22" s="54"/>
      <c r="BE22" s="54"/>
      <c r="BF22" s="54"/>
    </row>
    <row r="23" spans="1:58">
      <c r="A23" s="48"/>
      <c r="B23" s="109" t="s">
        <v>68</v>
      </c>
      <c r="C23" s="114">
        <f>773238/1000</f>
        <v>773.23800000000006</v>
      </c>
      <c r="D23" s="115">
        <v>52</v>
      </c>
      <c r="E23" s="114">
        <f>67033/1000</f>
        <v>67.033000000000001</v>
      </c>
      <c r="F23" s="115">
        <v>17</v>
      </c>
      <c r="G23" s="114">
        <f>246995/1000</f>
        <v>246.995</v>
      </c>
      <c r="H23" s="115">
        <v>4</v>
      </c>
      <c r="I23" s="114">
        <f>1053755/1000</f>
        <v>1053.7550000000001</v>
      </c>
      <c r="J23" s="115">
        <v>8</v>
      </c>
      <c r="K23" s="114">
        <v>879.77</v>
      </c>
      <c r="L23" s="115">
        <v>11</v>
      </c>
      <c r="M23" s="114">
        <v>1414.92</v>
      </c>
      <c r="N23" s="115">
        <v>20</v>
      </c>
      <c r="O23" s="116">
        <v>1519.56</v>
      </c>
      <c r="P23" s="117">
        <v>30</v>
      </c>
      <c r="Q23" s="114">
        <v>1284.75</v>
      </c>
      <c r="R23" s="115">
        <v>29</v>
      </c>
      <c r="S23" s="118">
        <v>911.88</v>
      </c>
      <c r="T23" s="119">
        <v>15</v>
      </c>
      <c r="U23" s="118">
        <v>1352.78</v>
      </c>
      <c r="V23" s="119">
        <v>23</v>
      </c>
      <c r="W23" s="118">
        <v>995.93</v>
      </c>
      <c r="X23" s="119">
        <v>16</v>
      </c>
      <c r="Y23" s="132">
        <v>817.89</v>
      </c>
      <c r="Z23" s="122">
        <v>12</v>
      </c>
      <c r="AA23" s="118">
        <v>1430.51</v>
      </c>
      <c r="AB23" s="119">
        <v>21</v>
      </c>
      <c r="AC23" s="118">
        <v>780.57</v>
      </c>
      <c r="AD23" s="119">
        <v>12</v>
      </c>
      <c r="AE23" s="118">
        <v>555.54</v>
      </c>
      <c r="AF23" s="119">
        <v>9</v>
      </c>
      <c r="AG23" s="118">
        <v>688.7</v>
      </c>
      <c r="AH23" s="119">
        <v>15</v>
      </c>
      <c r="AI23" s="118">
        <v>570.32000000000005</v>
      </c>
      <c r="AJ23" s="119">
        <v>10</v>
      </c>
      <c r="AK23" s="118">
        <v>120.39</v>
      </c>
      <c r="AL23" s="119">
        <v>3</v>
      </c>
      <c r="AM23" s="118">
        <v>25.05</v>
      </c>
      <c r="AN23" s="119">
        <v>1</v>
      </c>
      <c r="AO23" s="118">
        <v>234.39</v>
      </c>
      <c r="AP23" s="119">
        <v>8</v>
      </c>
      <c r="AQ23" s="118">
        <v>136.88999999999999</v>
      </c>
      <c r="AR23" s="119">
        <v>6</v>
      </c>
      <c r="AS23" s="118">
        <v>321</v>
      </c>
      <c r="AT23" s="119">
        <v>10</v>
      </c>
      <c r="AU23" s="121">
        <v>417.42</v>
      </c>
      <c r="AV23" s="119">
        <v>9</v>
      </c>
      <c r="AW23" s="121">
        <v>96.24</v>
      </c>
      <c r="AX23" s="119">
        <v>3</v>
      </c>
      <c r="AY23" s="118">
        <v>230.07</v>
      </c>
      <c r="AZ23" s="119">
        <v>6</v>
      </c>
      <c r="BA23" s="118">
        <f>+OCT!G77</f>
        <v>218.52</v>
      </c>
      <c r="BB23" s="119">
        <f>OCT!H77</f>
        <v>4</v>
      </c>
      <c r="BC23" s="64">
        <f t="shared" si="0"/>
        <v>-5.0202112400573665E-2</v>
      </c>
      <c r="BD23" s="54"/>
      <c r="BE23" s="54"/>
      <c r="BF23" s="54"/>
    </row>
    <row r="24" spans="1:58">
      <c r="A24" s="48"/>
      <c r="B24" s="109" t="s">
        <v>71</v>
      </c>
      <c r="C24" s="114">
        <f>403173/1000</f>
        <v>403.173</v>
      </c>
      <c r="D24" s="115">
        <v>42</v>
      </c>
      <c r="E24" s="114">
        <f>117684/1000</f>
        <v>117.684</v>
      </c>
      <c r="F24" s="115">
        <v>17</v>
      </c>
      <c r="G24" s="114">
        <f>182480/1000</f>
        <v>182.48</v>
      </c>
      <c r="H24" s="115">
        <v>4</v>
      </c>
      <c r="I24" s="114">
        <f>467110/1000</f>
        <v>467.11</v>
      </c>
      <c r="J24" s="115">
        <v>7</v>
      </c>
      <c r="K24" s="114">
        <v>914.94</v>
      </c>
      <c r="L24" s="115">
        <v>9</v>
      </c>
      <c r="M24" s="114">
        <v>1192.4100000000001</v>
      </c>
      <c r="N24" s="115">
        <v>18</v>
      </c>
      <c r="O24" s="116">
        <v>1217.1300000000001</v>
      </c>
      <c r="P24" s="117">
        <v>23</v>
      </c>
      <c r="Q24" s="114">
        <v>1341.78</v>
      </c>
      <c r="R24" s="115">
        <v>28</v>
      </c>
      <c r="S24" s="118">
        <v>1030.8599999999999</v>
      </c>
      <c r="T24" s="119">
        <v>18</v>
      </c>
      <c r="U24" s="118">
        <v>1107.6099999999999</v>
      </c>
      <c r="V24" s="119">
        <v>20</v>
      </c>
      <c r="W24" s="118">
        <v>703.16</v>
      </c>
      <c r="X24" s="119">
        <v>12</v>
      </c>
      <c r="Y24" s="114">
        <v>732</v>
      </c>
      <c r="Z24" s="122">
        <v>12</v>
      </c>
      <c r="AA24" s="118">
        <v>675.78</v>
      </c>
      <c r="AB24" s="133">
        <v>11</v>
      </c>
      <c r="AC24" s="118">
        <v>705.76</v>
      </c>
      <c r="AD24" s="133">
        <v>12</v>
      </c>
      <c r="AE24" s="118">
        <v>671.24</v>
      </c>
      <c r="AF24" s="133">
        <v>12</v>
      </c>
      <c r="AG24" s="118">
        <v>643.86</v>
      </c>
      <c r="AH24" s="133">
        <v>11</v>
      </c>
      <c r="AI24" s="118">
        <v>1057.02</v>
      </c>
      <c r="AJ24" s="133">
        <v>25</v>
      </c>
      <c r="AK24" s="118">
        <v>318.51</v>
      </c>
      <c r="AL24" s="133">
        <v>7</v>
      </c>
      <c r="AM24" s="118">
        <v>459.72</v>
      </c>
      <c r="AN24" s="133">
        <v>13</v>
      </c>
      <c r="AO24" s="118">
        <v>707.37</v>
      </c>
      <c r="AP24" s="133">
        <v>19</v>
      </c>
      <c r="AQ24" s="118">
        <v>475.26</v>
      </c>
      <c r="AR24" s="133">
        <v>14</v>
      </c>
      <c r="AS24" s="118">
        <v>612.54</v>
      </c>
      <c r="AT24" s="119">
        <v>17</v>
      </c>
      <c r="AU24" s="121">
        <v>225.54</v>
      </c>
      <c r="AV24" s="119">
        <v>7</v>
      </c>
      <c r="AW24" s="121">
        <v>509.25</v>
      </c>
      <c r="AX24" s="119">
        <v>12</v>
      </c>
      <c r="AY24" s="118">
        <v>368.49</v>
      </c>
      <c r="AZ24" s="119">
        <v>10</v>
      </c>
      <c r="BA24" s="118">
        <f>+NOV!G76</f>
        <v>775.32</v>
      </c>
      <c r="BB24" s="119">
        <f>NOV!H76</f>
        <v>13</v>
      </c>
      <c r="BC24" s="64">
        <f t="shared" si="0"/>
        <v>1.1040462427745665</v>
      </c>
      <c r="BD24" s="54"/>
      <c r="BE24" s="54"/>
      <c r="BF24" s="54"/>
    </row>
    <row r="25" spans="1:58">
      <c r="A25" s="48"/>
      <c r="B25" s="111" t="s">
        <v>74</v>
      </c>
      <c r="C25" s="134">
        <f>262296/1000</f>
        <v>262.29599999999999</v>
      </c>
      <c r="D25" s="135">
        <v>32</v>
      </c>
      <c r="E25" s="134">
        <f>96902/1000</f>
        <v>96.902000000000001</v>
      </c>
      <c r="F25" s="135">
        <v>21</v>
      </c>
      <c r="G25" s="134">
        <f>440540/1000</f>
        <v>440.54</v>
      </c>
      <c r="H25" s="135">
        <v>7</v>
      </c>
      <c r="I25" s="134">
        <f>200640/1000</f>
        <v>200.64</v>
      </c>
      <c r="J25" s="135">
        <v>4</v>
      </c>
      <c r="K25" s="134">
        <f>DIC!D51</f>
        <v>0</v>
      </c>
      <c r="L25" s="135">
        <f>DIC!F57</f>
        <v>0</v>
      </c>
      <c r="M25" s="134">
        <v>1278.31</v>
      </c>
      <c r="N25" s="135">
        <v>22</v>
      </c>
      <c r="O25" s="136">
        <v>1413.44</v>
      </c>
      <c r="P25" s="137">
        <v>23</v>
      </c>
      <c r="Q25" s="134">
        <v>1289.27</v>
      </c>
      <c r="R25" s="135">
        <v>25</v>
      </c>
      <c r="S25" s="138">
        <v>869.33</v>
      </c>
      <c r="T25" s="139">
        <v>15</v>
      </c>
      <c r="U25" s="138">
        <v>1122.83</v>
      </c>
      <c r="V25" s="139">
        <v>20</v>
      </c>
      <c r="W25" s="138">
        <v>307.83999999999997</v>
      </c>
      <c r="X25" s="139">
        <v>8</v>
      </c>
      <c r="Y25" s="134">
        <v>1112.24</v>
      </c>
      <c r="Z25" s="140">
        <v>19</v>
      </c>
      <c r="AA25" s="141">
        <v>579.66999999999996</v>
      </c>
      <c r="AB25" s="139">
        <v>11</v>
      </c>
      <c r="AC25" s="138">
        <v>697.09</v>
      </c>
      <c r="AD25" s="139">
        <v>13</v>
      </c>
      <c r="AE25" s="138">
        <v>641.41</v>
      </c>
      <c r="AF25" s="139">
        <v>12</v>
      </c>
      <c r="AG25" s="138">
        <v>680.8</v>
      </c>
      <c r="AH25" s="139">
        <v>13</v>
      </c>
      <c r="AI25" s="138">
        <v>414.5</v>
      </c>
      <c r="AJ25" s="139">
        <v>11</v>
      </c>
      <c r="AK25" s="138">
        <v>151.32</v>
      </c>
      <c r="AL25" s="139">
        <v>4</v>
      </c>
      <c r="AM25" s="138">
        <v>497.19</v>
      </c>
      <c r="AN25" s="139">
        <v>13</v>
      </c>
      <c r="AO25" s="138">
        <v>583.47</v>
      </c>
      <c r="AP25" s="139">
        <v>19</v>
      </c>
      <c r="AQ25" s="138">
        <v>398.58</v>
      </c>
      <c r="AR25" s="139">
        <v>16</v>
      </c>
      <c r="AS25" s="138">
        <v>428.13</v>
      </c>
      <c r="AT25" s="140">
        <v>13</v>
      </c>
      <c r="AU25" s="142">
        <v>905.16</v>
      </c>
      <c r="AV25" s="140">
        <v>24</v>
      </c>
      <c r="AW25" s="142">
        <v>630.75</v>
      </c>
      <c r="AX25" s="140">
        <v>16</v>
      </c>
      <c r="AY25" s="138">
        <v>245.82</v>
      </c>
      <c r="AZ25" s="143">
        <v>6</v>
      </c>
      <c r="BA25" s="138">
        <f>+DIC!G78</f>
        <v>535.08000000000004</v>
      </c>
      <c r="BB25" s="143">
        <f>DIC!H78</f>
        <v>11</v>
      </c>
      <c r="BC25" s="64">
        <f t="shared" si="0"/>
        <v>1.176714669270198</v>
      </c>
      <c r="BD25" s="54"/>
      <c r="BE25" s="54"/>
      <c r="BF25" s="54"/>
    </row>
    <row r="26" spans="1:58">
      <c r="A26" s="56"/>
      <c r="B26" s="51"/>
      <c r="C26" s="116"/>
      <c r="D26" s="117"/>
      <c r="E26" s="116"/>
      <c r="F26" s="117"/>
      <c r="G26" s="116"/>
      <c r="H26" s="117"/>
      <c r="I26" s="116"/>
      <c r="J26" s="117"/>
      <c r="K26" s="116"/>
      <c r="L26" s="117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144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  <c r="AY26" s="98"/>
      <c r="AZ26" s="98"/>
      <c r="BA26" s="98"/>
      <c r="BB26" s="98"/>
      <c r="BC26" s="64"/>
      <c r="BD26" s="54"/>
      <c r="BE26" s="54"/>
      <c r="BF26" s="54"/>
    </row>
    <row r="27" spans="1:58">
      <c r="A27" s="48"/>
      <c r="B27" s="71" t="s">
        <v>77</v>
      </c>
      <c r="C27" s="150">
        <f>C25+C24+C23+C22+C21+C20+C18+C17+C16+C15+C14+C13</f>
        <v>5977.3102399999998</v>
      </c>
      <c r="D27" s="125">
        <f t="shared" ref="D27:L27" si="4">D25+D24+D23+D22+D21+D20+D18+D17+D16+D15+D14+D13</f>
        <v>354</v>
      </c>
      <c r="E27" s="126">
        <f t="shared" si="4"/>
        <v>3865.5149999999999</v>
      </c>
      <c r="F27" s="125">
        <f t="shared" si="4"/>
        <v>244</v>
      </c>
      <c r="G27" s="126">
        <f t="shared" si="4"/>
        <v>2678.8979999999997</v>
      </c>
      <c r="H27" s="125">
        <f t="shared" si="4"/>
        <v>116</v>
      </c>
      <c r="I27" s="126">
        <f t="shared" si="4"/>
        <v>8035.2370000000001</v>
      </c>
      <c r="J27" s="125">
        <f t="shared" si="4"/>
        <v>95</v>
      </c>
      <c r="K27" s="126">
        <f t="shared" si="4"/>
        <v>4961.4800000000005</v>
      </c>
      <c r="L27" s="125">
        <f t="shared" si="4"/>
        <v>70</v>
      </c>
      <c r="M27" s="126">
        <f t="shared" ref="M27:T27" si="5">M13+M14+M15+M16+M17+M18+M20+M21+M22+M23+M24+M25</f>
        <v>17825.250000000004</v>
      </c>
      <c r="N27" s="125">
        <f t="shared" si="5"/>
        <v>246</v>
      </c>
      <c r="O27" s="126">
        <f t="shared" si="5"/>
        <v>17818.809999999998</v>
      </c>
      <c r="P27" s="125">
        <f t="shared" si="5"/>
        <v>323</v>
      </c>
      <c r="Q27" s="126">
        <f>Q13+Q14+Q15+Q16+Q17+Q18+Q20+Q21+Q22+Q23+Q24+Q25</f>
        <v>18093.12</v>
      </c>
      <c r="R27" s="125">
        <f t="shared" si="5"/>
        <v>371</v>
      </c>
      <c r="S27" s="126">
        <f t="shared" si="5"/>
        <v>12070.68</v>
      </c>
      <c r="T27" s="125">
        <f t="shared" si="5"/>
        <v>207</v>
      </c>
      <c r="U27" s="126">
        <f t="shared" ref="U27:Z27" si="6">U13+U14+U15+U16+U17+U18+U20+U21+U22+U23+U24+U25</f>
        <v>13529.750000000002</v>
      </c>
      <c r="V27" s="125">
        <f t="shared" si="6"/>
        <v>230</v>
      </c>
      <c r="W27" s="126">
        <f t="shared" si="6"/>
        <v>9878.89</v>
      </c>
      <c r="X27" s="145">
        <f t="shared" si="6"/>
        <v>179</v>
      </c>
      <c r="Y27" s="126">
        <f t="shared" si="6"/>
        <v>8242.5700000000015</v>
      </c>
      <c r="Z27" s="125">
        <f t="shared" si="6"/>
        <v>144</v>
      </c>
      <c r="AA27" s="126">
        <f>AA13+AA14+AA15+AA16+AA17+AA18+AA20+AA21+AA22+AA23+AA24+AA25</f>
        <v>11196.960000000001</v>
      </c>
      <c r="AB27" s="125">
        <f>AB13+AB14+AB15+AB16+AB17+AB18+AB20+AB21+AB22+AB23+AB24+AB25</f>
        <v>187</v>
      </c>
      <c r="AC27" s="126">
        <v>9620.8799999999992</v>
      </c>
      <c r="AD27" s="145">
        <v>159</v>
      </c>
      <c r="AE27" s="126">
        <f t="shared" ref="AE27:AL27" si="7">AE13+AE14+AE15+AE16+AE17+AE18+AE20+AE21+AE22+AE23+AE24+AE25</f>
        <v>8643.85</v>
      </c>
      <c r="AF27" s="145">
        <f t="shared" si="7"/>
        <v>141</v>
      </c>
      <c r="AG27" s="126">
        <f t="shared" si="7"/>
        <v>7618.9299999999994</v>
      </c>
      <c r="AH27" s="145">
        <f t="shared" si="7"/>
        <v>171</v>
      </c>
      <c r="AI27" s="126">
        <f t="shared" si="7"/>
        <v>6964.68</v>
      </c>
      <c r="AJ27" s="145">
        <f t="shared" si="7"/>
        <v>134</v>
      </c>
      <c r="AK27" s="126">
        <f t="shared" si="7"/>
        <v>3235.5399999999995</v>
      </c>
      <c r="AL27" s="145">
        <f t="shared" si="7"/>
        <v>60</v>
      </c>
      <c r="AM27" s="126">
        <f t="shared" ref="AM27:AR27" si="8">AM13+AM14+AM15+AM16+AM17+AM18+AM20+AM21+AM22+AM23+AM24+AM25</f>
        <v>2683.7099999999996</v>
      </c>
      <c r="AN27" s="145">
        <f t="shared" si="8"/>
        <v>73</v>
      </c>
      <c r="AO27" s="126">
        <f t="shared" si="8"/>
        <v>3323.79</v>
      </c>
      <c r="AP27" s="145">
        <f t="shared" si="8"/>
        <v>105</v>
      </c>
      <c r="AQ27" s="126">
        <f t="shared" si="8"/>
        <v>4035.24</v>
      </c>
      <c r="AR27" s="145">
        <f t="shared" si="8"/>
        <v>125</v>
      </c>
      <c r="AS27" s="126">
        <f>+AS13+AS14+AS15+AS16+AS17+AS18+AS20+AS21+AS22+AS23+AS24+AS25</f>
        <v>5736.75</v>
      </c>
      <c r="AT27" s="145">
        <f>AT13+AT14+AT15+AT16+AT17+AT18+AT20+AT21+AT22+AT23+AT24+AT25</f>
        <v>155</v>
      </c>
      <c r="AU27" s="126">
        <f>+AU13+AU14+AU15+AU16+AU17+AU18+AU20+AU21+AU22+AU23+AU24+AU25</f>
        <v>4385.5500000000011</v>
      </c>
      <c r="AV27" s="145">
        <f>AV13+AV14+AV15+AV16+AV17+AV18+AV20+AV21+AV22+AV23+AV24+AV25</f>
        <v>134</v>
      </c>
      <c r="AW27" s="126">
        <f>+AW13+AW14+AW15+AW16+AW17+AW18+AW20+AW21+AW22+AW23+AW24+AW25</f>
        <v>5655.3</v>
      </c>
      <c r="AX27" s="145">
        <f>AX13+AX14+AX15+AX16+AX17+AX18+AX20+AX21+AX22+AX23+AX24+AX25</f>
        <v>163</v>
      </c>
      <c r="AY27" s="126">
        <f>+AY13+AY14+AY15+AY16+AY17+AY18+AY20+AY21+AY22+AY23+AY24+AY25</f>
        <v>4316.6099999999997</v>
      </c>
      <c r="AZ27" s="145">
        <f>AZ13+AZ14+AZ15+AZ16+AZ17+AZ18+AZ20+AZ21+AZ22+AZ23+AZ24+AZ25</f>
        <v>123</v>
      </c>
      <c r="BA27" s="126">
        <f>+BA13+BA14+BA15+BA16+BA17+BA18+BA20+BA21+BA22+BA23+BA24+BA25</f>
        <v>2737.5299999999997</v>
      </c>
      <c r="BB27" s="145">
        <f>BB13+BB14+BB15+BB16+BB17+BB18+BB20+BB21+BB22+BB23+BB24+BB25</f>
        <v>66</v>
      </c>
      <c r="BC27" s="64">
        <f t="shared" si="0"/>
        <v>-0.36581484081258209</v>
      </c>
      <c r="BD27" s="54"/>
      <c r="BE27" s="54"/>
      <c r="BF27" s="54"/>
    </row>
    <row r="28" spans="1:58">
      <c r="A28" s="48"/>
      <c r="B28" s="72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146"/>
      <c r="N28" s="147"/>
      <c r="O28" s="147"/>
      <c r="P28" s="147"/>
      <c r="Q28" s="146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54"/>
      <c r="BD28" s="54"/>
      <c r="BE28" s="54"/>
      <c r="BF28" s="54"/>
    </row>
    <row r="29" spans="1:58">
      <c r="A29" s="48"/>
      <c r="B29" s="72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98"/>
      <c r="N29" s="147"/>
      <c r="O29" s="147"/>
      <c r="P29" s="147"/>
      <c r="Q29" s="148" t="s">
        <v>78</v>
      </c>
      <c r="R29" s="149">
        <f>SUM(R27:R28)</f>
        <v>371</v>
      </c>
      <c r="S29" s="149"/>
      <c r="T29" s="149">
        <f>SUM(T27:T28)</f>
        <v>207</v>
      </c>
      <c r="U29" s="149"/>
      <c r="V29" s="149">
        <f>SUM(V27:V28)</f>
        <v>230</v>
      </c>
      <c r="W29" s="149"/>
      <c r="X29" s="149">
        <f>SUM(X27:X28)</f>
        <v>179</v>
      </c>
      <c r="Y29" s="149"/>
      <c r="Z29" s="149">
        <f>SUM(Z27:Z28)</f>
        <v>144</v>
      </c>
      <c r="AA29" s="149"/>
      <c r="AB29" s="149">
        <f>AB27</f>
        <v>187</v>
      </c>
      <c r="AC29" s="149"/>
      <c r="AD29" s="149">
        <v>159</v>
      </c>
      <c r="AE29" s="149"/>
      <c r="AF29" s="149">
        <f>AF27</f>
        <v>141</v>
      </c>
      <c r="AG29" s="149"/>
      <c r="AH29" s="149">
        <f>AH27</f>
        <v>171</v>
      </c>
      <c r="AI29" s="149"/>
      <c r="AJ29" s="149">
        <f>AJ27</f>
        <v>134</v>
      </c>
      <c r="AK29" s="149"/>
      <c r="AL29" s="149">
        <f>AL27</f>
        <v>60</v>
      </c>
      <c r="AM29" s="149"/>
      <c r="AN29" s="149">
        <f>AN27</f>
        <v>73</v>
      </c>
      <c r="AO29" s="149"/>
      <c r="AP29" s="149">
        <f>AP27</f>
        <v>105</v>
      </c>
      <c r="AQ29" s="149"/>
      <c r="AR29" s="149">
        <f>AR27</f>
        <v>125</v>
      </c>
      <c r="AS29" s="149"/>
      <c r="AT29" s="149">
        <f>AT27</f>
        <v>155</v>
      </c>
      <c r="AU29" s="149"/>
      <c r="AV29" s="149">
        <f>AV27</f>
        <v>134</v>
      </c>
      <c r="AW29" s="149"/>
      <c r="AX29" s="149">
        <f>AX27</f>
        <v>163</v>
      </c>
      <c r="AY29" s="149"/>
      <c r="AZ29" s="149">
        <f>AZ27</f>
        <v>123</v>
      </c>
      <c r="BA29" s="149"/>
      <c r="BB29" s="149">
        <f>BB27</f>
        <v>66</v>
      </c>
      <c r="BC29" s="54"/>
      <c r="BD29" s="54"/>
      <c r="BE29" s="54"/>
      <c r="BF29" s="54"/>
    </row>
    <row r="30" spans="1:58">
      <c r="A30" s="48"/>
      <c r="B30" s="112" t="s">
        <v>24</v>
      </c>
      <c r="C30" s="112" t="s">
        <v>79</v>
      </c>
      <c r="D30" s="72"/>
      <c r="E30" s="73"/>
      <c r="F30" s="73"/>
      <c r="G30" s="72"/>
      <c r="H30" s="72"/>
      <c r="I30" s="72"/>
      <c r="J30" s="72"/>
      <c r="K30" s="72"/>
      <c r="L30" s="72"/>
      <c r="M30" s="74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4"/>
      <c r="BD30" s="54"/>
      <c r="BE30" s="54"/>
      <c r="BF30" s="54"/>
    </row>
    <row r="31" spans="1:58">
      <c r="A31" s="48"/>
      <c r="B31" s="112">
        <v>1986</v>
      </c>
      <c r="C31" s="72">
        <v>1211.4000000000001</v>
      </c>
      <c r="D31" s="72"/>
      <c r="E31" s="73"/>
      <c r="F31" s="73"/>
      <c r="G31" s="72"/>
      <c r="H31" s="72"/>
      <c r="I31" s="72"/>
      <c r="J31" s="72"/>
      <c r="K31" s="72"/>
      <c r="L31" s="72"/>
      <c r="M31" s="74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4"/>
      <c r="BD31" s="54"/>
      <c r="BE31" s="54"/>
      <c r="BF31" s="54"/>
    </row>
    <row r="32" spans="1:58">
      <c r="A32" s="48"/>
      <c r="B32" s="112">
        <v>1987</v>
      </c>
      <c r="C32" s="72">
        <v>2100</v>
      </c>
      <c r="D32" s="72"/>
      <c r="E32" s="73"/>
      <c r="F32" s="73"/>
      <c r="G32" s="72"/>
      <c r="H32" s="72"/>
      <c r="I32" s="72"/>
      <c r="J32" s="72"/>
      <c r="K32" s="72"/>
      <c r="L32" s="72"/>
      <c r="M32" s="74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4"/>
      <c r="BD32" s="54"/>
      <c r="BE32" s="54"/>
      <c r="BF32" s="54"/>
    </row>
    <row r="33" spans="1:58">
      <c r="A33" s="48"/>
      <c r="B33" s="112">
        <v>1988</v>
      </c>
      <c r="C33" s="72">
        <v>117</v>
      </c>
      <c r="D33" s="72"/>
      <c r="E33" s="73"/>
      <c r="F33" s="73"/>
      <c r="G33" s="72"/>
      <c r="H33" s="72"/>
      <c r="I33" s="72"/>
      <c r="J33" s="72"/>
      <c r="K33" s="72"/>
      <c r="L33" s="72"/>
      <c r="M33" s="74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4"/>
      <c r="BD33" s="54"/>
      <c r="BE33" s="54"/>
      <c r="BF33" s="54"/>
    </row>
    <row r="34" spans="1:58">
      <c r="A34" s="48"/>
      <c r="B34" s="112">
        <v>1989</v>
      </c>
      <c r="C34" s="72">
        <v>21</v>
      </c>
      <c r="D34" s="72"/>
      <c r="E34" s="73"/>
      <c r="F34" s="73"/>
      <c r="G34" s="72"/>
      <c r="H34" s="72"/>
      <c r="I34" s="72"/>
      <c r="J34" s="72"/>
      <c r="K34" s="72"/>
      <c r="L34" s="72"/>
      <c r="M34" s="74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4"/>
      <c r="BD34" s="54"/>
      <c r="BE34" s="54"/>
      <c r="BF34" s="54"/>
    </row>
    <row r="35" spans="1:58">
      <c r="A35" s="48"/>
      <c r="B35" s="112">
        <v>1990</v>
      </c>
      <c r="C35" s="72">
        <v>552</v>
      </c>
      <c r="D35" s="72"/>
      <c r="E35" s="73"/>
      <c r="F35" s="73"/>
      <c r="G35" s="72"/>
      <c r="H35" s="72"/>
      <c r="I35" s="72"/>
      <c r="J35" s="72"/>
      <c r="K35" s="72"/>
      <c r="L35" s="72"/>
      <c r="M35" s="74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313"/>
      <c r="AK35" s="313"/>
      <c r="AL35" s="313"/>
      <c r="AM35" s="313"/>
      <c r="AN35" s="313"/>
      <c r="AO35" s="313"/>
      <c r="AP35" s="313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4"/>
      <c r="BD35" s="54"/>
      <c r="BE35" s="54"/>
      <c r="BF35" s="54"/>
    </row>
    <row r="36" spans="1:58">
      <c r="A36" s="48"/>
      <c r="B36" s="112">
        <v>1991</v>
      </c>
      <c r="C36" s="72">
        <v>0</v>
      </c>
      <c r="D36" s="72"/>
      <c r="E36" s="73"/>
      <c r="F36" s="73"/>
      <c r="G36" s="72"/>
      <c r="H36" s="72"/>
      <c r="I36" s="72"/>
      <c r="J36" s="72"/>
      <c r="K36" s="72"/>
      <c r="L36" s="72"/>
      <c r="M36" s="74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313"/>
      <c r="AK36" s="313"/>
      <c r="AL36" s="313"/>
      <c r="AM36" s="313"/>
      <c r="AN36" s="313"/>
      <c r="AO36" s="313"/>
      <c r="AP36" s="313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4"/>
      <c r="BD36" s="54"/>
      <c r="BE36" s="54"/>
      <c r="BF36" s="54"/>
    </row>
    <row r="37" spans="1:58" ht="15.75">
      <c r="A37" s="48"/>
      <c r="B37" s="112">
        <v>1992</v>
      </c>
      <c r="C37" s="72">
        <v>773</v>
      </c>
      <c r="D37" s="72"/>
      <c r="E37" s="73"/>
      <c r="F37" s="73"/>
      <c r="G37" s="72"/>
      <c r="H37" s="72"/>
      <c r="I37" s="72"/>
      <c r="J37" s="72"/>
      <c r="K37" s="72"/>
      <c r="L37" s="72"/>
      <c r="M37" s="74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103"/>
      <c r="AK37" s="61"/>
      <c r="AL37" s="103"/>
      <c r="AM37" s="103"/>
      <c r="AN37" s="103"/>
      <c r="AO37" s="103"/>
      <c r="AP37" s="103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4"/>
      <c r="BD37" s="54"/>
      <c r="BE37" s="54"/>
      <c r="BF37" s="54"/>
    </row>
    <row r="38" spans="1:58">
      <c r="A38" s="48"/>
      <c r="B38" s="112">
        <v>1993</v>
      </c>
      <c r="C38" s="72">
        <v>1113.83</v>
      </c>
      <c r="D38" s="72"/>
      <c r="E38" s="73"/>
      <c r="F38" s="73"/>
      <c r="G38" s="72"/>
      <c r="H38" s="72"/>
      <c r="I38" s="72"/>
      <c r="J38" s="72"/>
      <c r="K38" s="72"/>
      <c r="L38" s="72"/>
      <c r="M38" s="74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4"/>
      <c r="BD38" s="54"/>
      <c r="BE38" s="54"/>
      <c r="BF38" s="54"/>
    </row>
    <row r="39" spans="1:58">
      <c r="A39" s="48"/>
      <c r="B39" s="112">
        <v>1994</v>
      </c>
      <c r="C39" s="72">
        <v>15787</v>
      </c>
      <c r="D39" s="72"/>
      <c r="E39" s="73"/>
      <c r="F39" s="73"/>
      <c r="G39" s="72"/>
      <c r="H39" s="72"/>
      <c r="I39" s="72"/>
      <c r="J39" s="72"/>
      <c r="K39" s="72"/>
      <c r="L39" s="72"/>
      <c r="M39" s="74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4"/>
      <c r="BD39" s="54"/>
      <c r="BE39" s="54"/>
      <c r="BF39" s="54"/>
    </row>
    <row r="40" spans="1:58">
      <c r="A40" s="48"/>
      <c r="B40" s="112">
        <v>1995</v>
      </c>
      <c r="C40" s="72">
        <v>23805</v>
      </c>
      <c r="D40" s="72"/>
      <c r="E40" s="73"/>
      <c r="F40" s="73"/>
      <c r="G40" s="72"/>
      <c r="H40" s="72"/>
      <c r="I40" s="72"/>
      <c r="J40" s="72"/>
      <c r="K40" s="72"/>
      <c r="L40" s="72"/>
      <c r="M40" s="74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4"/>
      <c r="BD40" s="54"/>
      <c r="BE40" s="54"/>
      <c r="BF40" s="54"/>
    </row>
    <row r="41" spans="1:58">
      <c r="A41" s="48"/>
      <c r="B41" s="112">
        <v>1996</v>
      </c>
      <c r="C41" s="72">
        <v>14055</v>
      </c>
      <c r="D41" s="72"/>
      <c r="E41" s="73"/>
      <c r="F41" s="73"/>
      <c r="G41" s="72"/>
      <c r="H41" s="72"/>
      <c r="I41" s="72"/>
      <c r="J41" s="72"/>
      <c r="K41" s="72"/>
      <c r="L41" s="72"/>
      <c r="M41" s="74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4"/>
      <c r="BD41" s="54"/>
      <c r="BE41" s="54"/>
      <c r="BF41" s="54"/>
    </row>
    <row r="42" spans="1:58">
      <c r="A42" s="48"/>
      <c r="B42" s="112">
        <v>1997</v>
      </c>
      <c r="C42" s="72">
        <v>11659</v>
      </c>
      <c r="D42" s="72"/>
      <c r="E42" s="73"/>
      <c r="F42" s="73"/>
      <c r="G42" s="72"/>
      <c r="H42" s="72"/>
      <c r="I42" s="72"/>
      <c r="J42" s="72"/>
      <c r="K42" s="72"/>
      <c r="L42" s="72"/>
      <c r="M42" s="74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4"/>
      <c r="BD42" s="54"/>
      <c r="BE42" s="54"/>
      <c r="BF42" s="54"/>
    </row>
    <row r="43" spans="1:58">
      <c r="A43" s="48"/>
      <c r="B43" s="72">
        <f>+C11</f>
        <v>1998</v>
      </c>
      <c r="C43" s="62">
        <f>+C27</f>
        <v>5977.3102399999998</v>
      </c>
      <c r="D43" s="72"/>
      <c r="E43" s="54"/>
      <c r="F43" s="54"/>
      <c r="G43" s="72"/>
      <c r="H43" s="72"/>
      <c r="I43" s="72"/>
      <c r="J43" s="72"/>
      <c r="K43" s="72"/>
      <c r="L43" s="72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4"/>
      <c r="BD43" s="54"/>
      <c r="BE43" s="54"/>
      <c r="BF43" s="54"/>
    </row>
    <row r="44" spans="1:58">
      <c r="A44" s="48"/>
      <c r="B44" s="72">
        <f>+E11</f>
        <v>1999</v>
      </c>
      <c r="C44" s="62">
        <f>+E27</f>
        <v>3865.5149999999999</v>
      </c>
      <c r="D44" s="72"/>
      <c r="E44" s="54"/>
      <c r="F44" s="54"/>
      <c r="G44" s="72"/>
      <c r="H44" s="72"/>
      <c r="I44" s="72"/>
      <c r="J44" s="72"/>
      <c r="K44" s="72"/>
      <c r="L44" s="72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4"/>
      <c r="BD44" s="54"/>
      <c r="BE44" s="54"/>
      <c r="BF44" s="54"/>
    </row>
    <row r="45" spans="1:58">
      <c r="A45" s="48"/>
      <c r="B45" s="72">
        <f>+G11</f>
        <v>2000</v>
      </c>
      <c r="C45" s="62">
        <f>+G27</f>
        <v>2678.8979999999997</v>
      </c>
      <c r="D45" s="51"/>
      <c r="E45" s="54"/>
      <c r="F45" s="54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4"/>
      <c r="BD45" s="54"/>
      <c r="BE45" s="54"/>
      <c r="BF45" s="54"/>
    </row>
    <row r="46" spans="1:58">
      <c r="A46" s="48"/>
      <c r="B46" s="72">
        <f>+I11</f>
        <v>2001</v>
      </c>
      <c r="C46" s="62">
        <f>+I27</f>
        <v>8035.2370000000001</v>
      </c>
      <c r="D46" s="51"/>
      <c r="E46" s="54"/>
      <c r="F46" s="54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4"/>
      <c r="BD46" s="54"/>
      <c r="BE46" s="54"/>
      <c r="BF46" s="54"/>
    </row>
    <row r="47" spans="1:58">
      <c r="A47" s="51"/>
      <c r="B47" s="72">
        <f>+K11</f>
        <v>2002</v>
      </c>
      <c r="C47" s="62">
        <f>+K27</f>
        <v>4961.4800000000005</v>
      </c>
      <c r="D47" s="51"/>
      <c r="E47" s="54"/>
      <c r="F47" s="54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4"/>
      <c r="BD47" s="54"/>
      <c r="BE47" s="54"/>
      <c r="BF47" s="54"/>
    </row>
    <row r="48" spans="1:58" ht="13.9" customHeight="1">
      <c r="A48" s="51"/>
      <c r="B48" s="72">
        <f>+M11</f>
        <v>2003</v>
      </c>
      <c r="C48" s="62">
        <f>+M27</f>
        <v>17825.250000000004</v>
      </c>
      <c r="D48" s="51"/>
      <c r="E48" s="54"/>
      <c r="F48" s="54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4"/>
      <c r="BD48" s="54"/>
      <c r="BE48" s="54"/>
      <c r="BF48" s="54"/>
    </row>
    <row r="49" spans="1:58" ht="13.9" customHeight="1">
      <c r="A49" s="51"/>
      <c r="B49" s="72">
        <f>+O11</f>
        <v>2004</v>
      </c>
      <c r="C49" s="62">
        <f>+O27</f>
        <v>17818.809999999998</v>
      </c>
      <c r="D49" s="51"/>
      <c r="E49" s="54"/>
      <c r="F49" s="54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4"/>
      <c r="BD49" s="54"/>
      <c r="BE49" s="54"/>
      <c r="BF49" s="54"/>
    </row>
    <row r="50" spans="1:58">
      <c r="A50" s="51"/>
      <c r="B50" s="72">
        <f>+Q11</f>
        <v>2005</v>
      </c>
      <c r="C50" s="62">
        <f>+Q27</f>
        <v>18093.12</v>
      </c>
      <c r="D50" s="51"/>
      <c r="E50" s="54"/>
      <c r="F50" s="54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4"/>
      <c r="BD50" s="54"/>
      <c r="BE50" s="54"/>
      <c r="BF50" s="54"/>
    </row>
    <row r="51" spans="1:58">
      <c r="A51" s="51"/>
      <c r="B51" s="72">
        <f>+S11</f>
        <v>2006</v>
      </c>
      <c r="C51" s="62">
        <f>+S27</f>
        <v>12070.68</v>
      </c>
      <c r="D51" s="51"/>
      <c r="E51" s="54"/>
      <c r="F51" s="54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4"/>
      <c r="BD51" s="54"/>
      <c r="BE51" s="54"/>
      <c r="BF51" s="54"/>
    </row>
    <row r="52" spans="1:58">
      <c r="A52" s="51"/>
      <c r="B52" s="72">
        <f>+U11</f>
        <v>2007</v>
      </c>
      <c r="C52" s="62">
        <f>+U27</f>
        <v>13529.750000000002</v>
      </c>
      <c r="D52" s="51"/>
      <c r="E52" s="54"/>
      <c r="F52" s="54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4"/>
      <c r="BD52" s="54"/>
      <c r="BE52" s="54"/>
      <c r="BF52" s="54"/>
    </row>
    <row r="53" spans="1:58">
      <c r="A53" s="51"/>
      <c r="B53" s="72">
        <v>2008</v>
      </c>
      <c r="C53" s="62">
        <f>+W27</f>
        <v>9878.89</v>
      </c>
      <c r="D53" s="51"/>
      <c r="E53" s="54"/>
      <c r="F53" s="54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4"/>
      <c r="BD53" s="54"/>
      <c r="BE53" s="54"/>
      <c r="BF53" s="54"/>
    </row>
    <row r="54" spans="1:58">
      <c r="A54" s="51"/>
      <c r="B54" s="72">
        <v>2009</v>
      </c>
      <c r="C54" s="62">
        <f>+Y27</f>
        <v>8242.5700000000015</v>
      </c>
      <c r="D54" s="51"/>
      <c r="E54" s="54"/>
      <c r="F54" s="54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4"/>
      <c r="BD54" s="54"/>
      <c r="BE54" s="54"/>
      <c r="BF54" s="54"/>
    </row>
    <row r="55" spans="1:58">
      <c r="A55" s="51"/>
      <c r="B55" s="72">
        <v>2010</v>
      </c>
      <c r="C55" s="62">
        <f>+AA27</f>
        <v>11196.960000000001</v>
      </c>
      <c r="D55" s="51"/>
      <c r="E55" s="54"/>
      <c r="F55" s="54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4"/>
      <c r="BD55" s="54"/>
      <c r="BE55" s="54"/>
      <c r="BF55" s="54"/>
    </row>
    <row r="56" spans="1:58">
      <c r="A56" s="51"/>
      <c r="B56" s="72">
        <v>2011</v>
      </c>
      <c r="C56" s="62">
        <f>+AC27</f>
        <v>9620.8799999999992</v>
      </c>
      <c r="D56" s="51"/>
      <c r="E56" s="54"/>
      <c r="F56" s="54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4"/>
      <c r="BD56" s="54"/>
      <c r="BE56" s="54"/>
      <c r="BF56" s="54"/>
    </row>
    <row r="57" spans="1:58">
      <c r="A57" s="51"/>
      <c r="B57" s="72">
        <v>2012</v>
      </c>
      <c r="C57" s="62">
        <f>+AE27</f>
        <v>8643.85</v>
      </c>
      <c r="D57" s="51"/>
      <c r="E57" s="54"/>
      <c r="F57" s="54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4"/>
      <c r="BD57" s="54"/>
      <c r="BE57" s="54"/>
      <c r="BF57" s="54"/>
    </row>
    <row r="58" spans="1:58">
      <c r="A58" s="51"/>
      <c r="B58" s="72">
        <v>2013</v>
      </c>
      <c r="C58" s="62">
        <f>AG27</f>
        <v>7618.9299999999994</v>
      </c>
      <c r="D58" s="51"/>
      <c r="E58" s="54"/>
      <c r="F58" s="54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4"/>
      <c r="BD58" s="54"/>
      <c r="BE58" s="54"/>
      <c r="BF58" s="54"/>
    </row>
    <row r="59" spans="1:58">
      <c r="A59" s="51"/>
      <c r="B59" s="72">
        <v>2014</v>
      </c>
      <c r="C59" s="62">
        <f>AI27</f>
        <v>6964.68</v>
      </c>
      <c r="D59" s="51"/>
      <c r="E59" s="54"/>
      <c r="F59" s="54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4"/>
      <c r="BD59" s="54"/>
      <c r="BE59" s="54"/>
      <c r="BF59" s="54"/>
    </row>
    <row r="60" spans="1:58">
      <c r="A60" s="51"/>
      <c r="B60" s="72">
        <v>2015</v>
      </c>
      <c r="C60" s="62">
        <f>AK27</f>
        <v>3235.5399999999995</v>
      </c>
      <c r="D60" s="51"/>
      <c r="E60" s="54"/>
      <c r="F60" s="54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4"/>
      <c r="BD60" s="54"/>
      <c r="BE60" s="54"/>
      <c r="BF60" s="54"/>
    </row>
    <row r="61" spans="1:58">
      <c r="A61" s="51"/>
      <c r="B61" s="72">
        <v>2016</v>
      </c>
      <c r="C61" s="62">
        <f>AM27</f>
        <v>2683.7099999999996</v>
      </c>
      <c r="D61" s="51"/>
      <c r="E61" s="54"/>
      <c r="F61" s="54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4"/>
      <c r="BD61" s="54"/>
      <c r="BE61" s="54"/>
      <c r="BF61" s="54"/>
    </row>
    <row r="62" spans="1:58">
      <c r="A62" s="51"/>
      <c r="B62" s="72">
        <v>2017</v>
      </c>
      <c r="C62" s="62">
        <f>AO27</f>
        <v>3323.79</v>
      </c>
      <c r="D62" s="51"/>
      <c r="E62" s="54"/>
      <c r="F62" s="54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4"/>
      <c r="BD62" s="54"/>
      <c r="BE62" s="54"/>
      <c r="BF62" s="54"/>
    </row>
    <row r="63" spans="1:58">
      <c r="A63" s="51"/>
      <c r="B63" s="72">
        <v>2018</v>
      </c>
      <c r="C63" s="62">
        <f>AQ27</f>
        <v>4035.24</v>
      </c>
      <c r="D63" s="51"/>
      <c r="E63" s="54"/>
      <c r="F63" s="54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4"/>
      <c r="BD63" s="54"/>
      <c r="BE63" s="54"/>
      <c r="BF63" s="54"/>
    </row>
    <row r="64" spans="1:58">
      <c r="A64" s="51"/>
      <c r="B64" s="72">
        <v>2019</v>
      </c>
      <c r="C64" s="62">
        <f>AS27</f>
        <v>5736.75</v>
      </c>
      <c r="D64" s="51"/>
      <c r="E64" s="54"/>
      <c r="F64" s="54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4"/>
      <c r="BD64" s="54"/>
      <c r="BE64" s="54"/>
      <c r="BF64" s="54"/>
    </row>
    <row r="65" spans="1:58">
      <c r="A65" s="51"/>
      <c r="B65" s="72">
        <v>2020</v>
      </c>
      <c r="C65" s="62">
        <f>AU27</f>
        <v>4385.5500000000011</v>
      </c>
      <c r="D65" s="51"/>
      <c r="E65" s="54"/>
      <c r="F65" s="54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4"/>
      <c r="BD65" s="54"/>
      <c r="BE65" s="54"/>
      <c r="BF65" s="54"/>
    </row>
    <row r="66" spans="1:58">
      <c r="A66" s="51"/>
      <c r="B66" s="72">
        <v>2021</v>
      </c>
      <c r="C66" s="62">
        <f>AW27</f>
        <v>5655.3</v>
      </c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4"/>
      <c r="BD66" s="54"/>
      <c r="BE66" s="54"/>
      <c r="BF66" s="54"/>
    </row>
    <row r="67" spans="1:58">
      <c r="A67" s="51"/>
      <c r="B67" s="72">
        <v>2022</v>
      </c>
      <c r="C67" s="62">
        <f>AY27</f>
        <v>4316.6099999999997</v>
      </c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4"/>
      <c r="BD67" s="54"/>
      <c r="BE67" s="54"/>
      <c r="BF67" s="54"/>
    </row>
    <row r="68" spans="1:58">
      <c r="A68" s="51"/>
      <c r="B68" s="72">
        <v>2023</v>
      </c>
      <c r="C68" s="62">
        <f>BA27</f>
        <v>2737.5299999999997</v>
      </c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4"/>
      <c r="BD68" s="54"/>
      <c r="BE68" s="54"/>
      <c r="BF68" s="54"/>
    </row>
    <row r="69" spans="1:58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4"/>
      <c r="BD69" s="54"/>
      <c r="BE69" s="54"/>
      <c r="BF69" s="54"/>
    </row>
    <row r="70" spans="1:58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4"/>
      <c r="BD70" s="54"/>
      <c r="BE70" s="54"/>
      <c r="BF70" s="54"/>
    </row>
    <row r="71" spans="1:58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4"/>
      <c r="BD71" s="54"/>
      <c r="BE71" s="54"/>
      <c r="BF71" s="54"/>
    </row>
    <row r="72" spans="1:58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4"/>
      <c r="BD72" s="54"/>
      <c r="BE72" s="54"/>
      <c r="BF72" s="54"/>
    </row>
    <row r="73" spans="1:58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4"/>
      <c r="BD73" s="54"/>
      <c r="BE73" s="54"/>
      <c r="BF73" s="54"/>
    </row>
    <row r="74" spans="1:58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4"/>
      <c r="BD74" s="54"/>
      <c r="BE74" s="54"/>
      <c r="BF74" s="54"/>
    </row>
    <row r="75" spans="1:58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4"/>
      <c r="BD75" s="54"/>
      <c r="BE75" s="54"/>
      <c r="BF75" s="54"/>
    </row>
    <row r="76" spans="1:58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4"/>
      <c r="BD76" s="54"/>
      <c r="BE76" s="54"/>
      <c r="BF76" s="54"/>
    </row>
    <row r="77" spans="1:58" ht="15.75">
      <c r="A77" s="51"/>
      <c r="B77" s="51"/>
      <c r="C77" s="51"/>
      <c r="D77" s="51"/>
      <c r="E77" s="324" t="s">
        <v>80</v>
      </c>
      <c r="F77" s="324"/>
      <c r="G77" s="324"/>
      <c r="H77" s="324"/>
      <c r="I77" s="324"/>
      <c r="J77" s="324"/>
      <c r="K77" s="324"/>
      <c r="L77" s="324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4"/>
      <c r="BD77" s="54"/>
      <c r="BE77" s="54"/>
      <c r="BF77" s="54"/>
    </row>
    <row r="78" spans="1:58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4"/>
      <c r="BD78" s="54"/>
      <c r="BE78" s="54"/>
      <c r="BF78" s="54"/>
    </row>
    <row r="79" spans="1:58">
      <c r="A79" s="51"/>
      <c r="B79" s="75"/>
      <c r="C79" s="316" t="s">
        <v>81</v>
      </c>
      <c r="D79" s="316"/>
      <c r="E79" s="316"/>
      <c r="F79" s="316"/>
      <c r="G79" s="316" t="s">
        <v>82</v>
      </c>
      <c r="H79" s="316"/>
      <c r="I79" s="316"/>
      <c r="J79" s="316"/>
      <c r="K79" s="323" t="s">
        <v>83</v>
      </c>
      <c r="L79" s="323"/>
      <c r="M79" s="323"/>
      <c r="N79" s="323"/>
      <c r="O79" s="76"/>
      <c r="P79" s="76"/>
      <c r="Q79" s="316" t="s">
        <v>84</v>
      </c>
      <c r="R79" s="316"/>
      <c r="S79" s="316"/>
      <c r="T79" s="316"/>
      <c r="U79" s="316"/>
      <c r="V79" s="316"/>
      <c r="W79" s="316"/>
      <c r="X79" s="316"/>
      <c r="Y79" s="316"/>
      <c r="Z79" s="316"/>
      <c r="AA79" s="316"/>
      <c r="AB79" s="316"/>
      <c r="AC79" s="316"/>
      <c r="AD79" s="316"/>
      <c r="AE79" s="316"/>
      <c r="AF79" s="316"/>
      <c r="AG79" s="316"/>
      <c r="AH79" s="316"/>
      <c r="AI79" s="316"/>
      <c r="AJ79" s="316"/>
      <c r="AK79" s="316"/>
      <c r="AL79" s="316"/>
      <c r="AM79" s="316"/>
      <c r="AN79" s="316"/>
      <c r="AO79" s="316"/>
      <c r="AP79" s="316"/>
      <c r="AQ79" s="316"/>
      <c r="AR79" s="316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54"/>
      <c r="BD79" s="54"/>
      <c r="BE79" s="54"/>
      <c r="BF79" s="54"/>
    </row>
    <row r="80" spans="1:58" ht="12.75" customHeight="1">
      <c r="A80" s="51"/>
      <c r="B80" s="78"/>
      <c r="C80" s="317" t="s">
        <v>85</v>
      </c>
      <c r="D80" s="317" t="s">
        <v>52</v>
      </c>
      <c r="E80" s="317" t="s">
        <v>86</v>
      </c>
      <c r="F80" s="317" t="s">
        <v>87</v>
      </c>
      <c r="G80" s="317" t="s">
        <v>85</v>
      </c>
      <c r="H80" s="317" t="s">
        <v>52</v>
      </c>
      <c r="I80" s="317" t="s">
        <v>86</v>
      </c>
      <c r="J80" s="317" t="s">
        <v>87</v>
      </c>
      <c r="K80" s="317" t="s">
        <v>85</v>
      </c>
      <c r="L80" s="317" t="s">
        <v>52</v>
      </c>
      <c r="M80" s="317" t="s">
        <v>86</v>
      </c>
      <c r="N80" s="317" t="s">
        <v>87</v>
      </c>
      <c r="O80" s="79"/>
      <c r="P80" s="79"/>
      <c r="Q80" s="317" t="s">
        <v>85</v>
      </c>
      <c r="R80" s="317" t="s">
        <v>52</v>
      </c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54"/>
      <c r="BD80" s="54"/>
      <c r="BE80" s="54"/>
      <c r="BF80" s="54"/>
    </row>
    <row r="81" spans="1:58" ht="34.5" customHeight="1">
      <c r="A81" s="51"/>
      <c r="B81" s="57" t="s">
        <v>27</v>
      </c>
      <c r="C81" s="318"/>
      <c r="D81" s="318"/>
      <c r="E81" s="318"/>
      <c r="F81" s="318"/>
      <c r="G81" s="318"/>
      <c r="H81" s="318"/>
      <c r="I81" s="318"/>
      <c r="J81" s="318"/>
      <c r="K81" s="318"/>
      <c r="L81" s="318"/>
      <c r="M81" s="318"/>
      <c r="N81" s="318"/>
      <c r="O81" s="81"/>
      <c r="P81" s="81"/>
      <c r="Q81" s="318"/>
      <c r="R81" s="318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54"/>
      <c r="BD81" s="54"/>
      <c r="BE81" s="54"/>
      <c r="BF81" s="54"/>
    </row>
    <row r="82" spans="1:58">
      <c r="A82" s="51"/>
      <c r="B82" s="59"/>
      <c r="C82" s="72"/>
      <c r="D82" s="267"/>
      <c r="E82" s="72"/>
      <c r="F82" s="267"/>
      <c r="G82" s="72"/>
      <c r="H82" s="267"/>
      <c r="I82" s="72"/>
      <c r="J82" s="267"/>
      <c r="K82" s="72"/>
      <c r="L82" s="267"/>
      <c r="M82" s="72"/>
      <c r="N82" s="267"/>
      <c r="O82" s="72"/>
      <c r="P82" s="72"/>
      <c r="Q82" s="72"/>
      <c r="R82" s="267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54"/>
      <c r="BD82" s="54"/>
      <c r="BE82" s="54"/>
      <c r="BF82" s="54"/>
    </row>
    <row r="83" spans="1:58">
      <c r="A83" s="51"/>
      <c r="B83" s="60" t="s">
        <v>30</v>
      </c>
      <c r="C83" s="82">
        <v>0</v>
      </c>
      <c r="D83" s="266">
        <v>559.32000000000005</v>
      </c>
      <c r="E83" s="82">
        <v>0</v>
      </c>
      <c r="F83" s="189">
        <v>0</v>
      </c>
      <c r="G83" s="82">
        <f>ENE!F59</f>
        <v>0</v>
      </c>
      <c r="H83" s="189">
        <f>ENE!F44</f>
        <v>123390</v>
      </c>
      <c r="I83" s="82">
        <v>0</v>
      </c>
      <c r="J83" s="189">
        <v>0</v>
      </c>
      <c r="K83" s="84" t="e">
        <f t="shared" ref="K83:L94" si="9">+(G83-C83)/C83</f>
        <v>#DIV/0!</v>
      </c>
      <c r="L83" s="268">
        <f>+(H83-D83)/D83</f>
        <v>219.6071658442394</v>
      </c>
      <c r="M83" s="84">
        <v>0</v>
      </c>
      <c r="N83" s="268">
        <v>0</v>
      </c>
      <c r="O83" s="84"/>
      <c r="P83" s="84"/>
      <c r="Q83" s="62">
        <f>G83</f>
        <v>0</v>
      </c>
      <c r="R83" s="191">
        <f>H83</f>
        <v>123390</v>
      </c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54"/>
      <c r="BD83" s="54"/>
      <c r="BE83" s="54"/>
      <c r="BF83" s="54"/>
    </row>
    <row r="84" spans="1:58">
      <c r="A84" s="51"/>
      <c r="B84" s="60" t="s">
        <v>34</v>
      </c>
      <c r="C84" s="82">
        <v>0</v>
      </c>
      <c r="D84" s="266">
        <v>437.76</v>
      </c>
      <c r="E84" s="82">
        <v>0</v>
      </c>
      <c r="F84" s="189">
        <v>0</v>
      </c>
      <c r="G84" s="82">
        <f>FEB!F62</f>
        <v>0</v>
      </c>
      <c r="H84" s="189">
        <f>FEB!$F$46</f>
        <v>176790</v>
      </c>
      <c r="I84" s="82">
        <v>0</v>
      </c>
      <c r="J84" s="189">
        <v>0</v>
      </c>
      <c r="K84" s="84" t="e">
        <f t="shared" si="9"/>
        <v>#DIV/0!</v>
      </c>
      <c r="L84" s="268">
        <f t="shared" si="9"/>
        <v>402.85142543859649</v>
      </c>
      <c r="M84" s="84">
        <v>0</v>
      </c>
      <c r="N84" s="268">
        <v>0</v>
      </c>
      <c r="O84" s="84"/>
      <c r="P84" s="84"/>
      <c r="Q84" s="62">
        <f t="shared" ref="Q84:Q94" si="10">Q83+G84</f>
        <v>0</v>
      </c>
      <c r="R84" s="191">
        <f t="shared" ref="R84:R94" si="11">R83+H84</f>
        <v>300180</v>
      </c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54"/>
      <c r="BD84" s="54"/>
      <c r="BE84" s="54"/>
      <c r="BF84" s="54"/>
    </row>
    <row r="85" spans="1:58">
      <c r="A85" s="51"/>
      <c r="B85" s="60" t="s">
        <v>38</v>
      </c>
      <c r="C85" s="82">
        <v>0</v>
      </c>
      <c r="D85" s="266">
        <v>541.5</v>
      </c>
      <c r="E85" s="82">
        <v>0</v>
      </c>
      <c r="F85" s="189">
        <v>0</v>
      </c>
      <c r="G85" s="82">
        <f>MAR!F54</f>
        <v>0</v>
      </c>
      <c r="H85" s="189">
        <f>MAR!$F$41</f>
        <v>370560</v>
      </c>
      <c r="I85" s="82">
        <v>0</v>
      </c>
      <c r="J85" s="189">
        <v>0</v>
      </c>
      <c r="K85" s="84" t="e">
        <f t="shared" si="9"/>
        <v>#DIV/0!</v>
      </c>
      <c r="L85" s="268">
        <f t="shared" si="9"/>
        <v>683.3213296398892</v>
      </c>
      <c r="M85" s="84">
        <v>0</v>
      </c>
      <c r="N85" s="268">
        <v>0</v>
      </c>
      <c r="O85" s="84"/>
      <c r="P85" s="84"/>
      <c r="Q85" s="62">
        <f t="shared" si="10"/>
        <v>0</v>
      </c>
      <c r="R85" s="191">
        <f t="shared" si="11"/>
        <v>670740</v>
      </c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54"/>
      <c r="BD85" s="54"/>
      <c r="BE85" s="54"/>
      <c r="BF85" s="54"/>
    </row>
    <row r="86" spans="1:58">
      <c r="A86" s="51"/>
      <c r="B86" s="60" t="s">
        <v>44</v>
      </c>
      <c r="C86" s="82">
        <v>0</v>
      </c>
      <c r="D86" s="266">
        <v>509.58</v>
      </c>
      <c r="E86" s="82">
        <v>0</v>
      </c>
      <c r="F86" s="189">
        <v>0</v>
      </c>
      <c r="G86" s="82">
        <f>ABR!F54</f>
        <v>0</v>
      </c>
      <c r="H86" s="189">
        <f>ABR!$F$39</f>
        <v>201990</v>
      </c>
      <c r="I86" s="82">
        <v>0</v>
      </c>
      <c r="J86" s="189">
        <v>0</v>
      </c>
      <c r="K86" s="84" t="e">
        <f t="shared" si="9"/>
        <v>#DIV/0!</v>
      </c>
      <c r="L86" s="268">
        <f t="shared" si="9"/>
        <v>395.38525844813381</v>
      </c>
      <c r="M86" s="84">
        <v>0</v>
      </c>
      <c r="N86" s="268">
        <v>0</v>
      </c>
      <c r="O86" s="84"/>
      <c r="P86" s="84"/>
      <c r="Q86" s="62">
        <f t="shared" si="10"/>
        <v>0</v>
      </c>
      <c r="R86" s="191">
        <f t="shared" si="11"/>
        <v>872730</v>
      </c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54"/>
      <c r="BD86" s="54"/>
      <c r="BE86" s="54"/>
      <c r="BF86" s="54"/>
    </row>
    <row r="87" spans="1:58">
      <c r="A87" s="51"/>
      <c r="B87" s="60" t="s">
        <v>46</v>
      </c>
      <c r="C87" s="82">
        <v>0</v>
      </c>
      <c r="D87" s="266">
        <v>38.22</v>
      </c>
      <c r="E87" s="82">
        <v>0</v>
      </c>
      <c r="F87" s="189">
        <v>0</v>
      </c>
      <c r="G87" s="82">
        <f>MAY!F55</f>
        <v>0</v>
      </c>
      <c r="H87" s="189">
        <f>MAY!F42</f>
        <v>60900</v>
      </c>
      <c r="I87" s="82">
        <v>0</v>
      </c>
      <c r="J87" s="189">
        <v>0</v>
      </c>
      <c r="K87" s="84" t="e">
        <f t="shared" si="9"/>
        <v>#DIV/0!</v>
      </c>
      <c r="L87" s="268">
        <f t="shared" si="9"/>
        <v>1592.4065934065934</v>
      </c>
      <c r="M87" s="84">
        <v>0</v>
      </c>
      <c r="N87" s="268">
        <v>0</v>
      </c>
      <c r="O87" s="84"/>
      <c r="P87" s="84"/>
      <c r="Q87" s="62">
        <f t="shared" si="10"/>
        <v>0</v>
      </c>
      <c r="R87" s="191">
        <f t="shared" si="11"/>
        <v>933630</v>
      </c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54"/>
      <c r="BD87" s="54"/>
      <c r="BE87" s="54"/>
      <c r="BF87" s="54"/>
    </row>
    <row r="88" spans="1:58">
      <c r="A88" s="51"/>
      <c r="B88" s="60" t="s">
        <v>48</v>
      </c>
      <c r="C88" s="82">
        <v>0</v>
      </c>
      <c r="D88" s="266">
        <v>136.56</v>
      </c>
      <c r="E88" s="82">
        <v>0</v>
      </c>
      <c r="F88" s="189">
        <v>0</v>
      </c>
      <c r="G88" s="82">
        <f>JUN!$G$47</f>
        <v>0</v>
      </c>
      <c r="H88" s="189">
        <f>JUN!F31</f>
        <v>0</v>
      </c>
      <c r="I88" s="82">
        <v>0</v>
      </c>
      <c r="J88" s="189">
        <v>0</v>
      </c>
      <c r="K88" s="84" t="e">
        <f t="shared" si="9"/>
        <v>#DIV/0!</v>
      </c>
      <c r="L88" s="268">
        <f t="shared" si="9"/>
        <v>-1</v>
      </c>
      <c r="M88" s="84">
        <v>0</v>
      </c>
      <c r="N88" s="268">
        <v>0</v>
      </c>
      <c r="O88" s="84"/>
      <c r="P88" s="84"/>
      <c r="Q88" s="62">
        <f t="shared" si="10"/>
        <v>0</v>
      </c>
      <c r="R88" s="191">
        <f t="shared" si="11"/>
        <v>933630</v>
      </c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54"/>
      <c r="BD88" s="54"/>
      <c r="BE88" s="54"/>
      <c r="BF88" s="54"/>
    </row>
    <row r="89" spans="1:58">
      <c r="A89" s="51"/>
      <c r="B89" s="60" t="s">
        <v>57</v>
      </c>
      <c r="C89" s="82">
        <v>0</v>
      </c>
      <c r="D89" s="266">
        <v>380.88</v>
      </c>
      <c r="E89" s="82">
        <v>0</v>
      </c>
      <c r="F89" s="189">
        <v>0</v>
      </c>
      <c r="G89" s="82">
        <f>JUL!G46</f>
        <v>0</v>
      </c>
      <c r="H89" s="189">
        <f>JUL!F31</f>
        <v>0</v>
      </c>
      <c r="I89" s="82">
        <v>0</v>
      </c>
      <c r="J89" s="189">
        <v>0</v>
      </c>
      <c r="K89" s="84" t="e">
        <f t="shared" si="9"/>
        <v>#DIV/0!</v>
      </c>
      <c r="L89" s="268">
        <f t="shared" si="9"/>
        <v>-1</v>
      </c>
      <c r="M89" s="84">
        <v>0</v>
      </c>
      <c r="N89" s="268">
        <v>0</v>
      </c>
      <c r="O89" s="84"/>
      <c r="P89" s="84"/>
      <c r="Q89" s="62">
        <f t="shared" si="10"/>
        <v>0</v>
      </c>
      <c r="R89" s="191">
        <f t="shared" si="11"/>
        <v>933630</v>
      </c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54"/>
      <c r="BD89" s="54"/>
      <c r="BE89" s="54"/>
      <c r="BF89" s="54"/>
    </row>
    <row r="90" spans="1:58">
      <c r="A90" s="51"/>
      <c r="B90" s="60" t="s">
        <v>62</v>
      </c>
      <c r="C90" s="82">
        <v>0</v>
      </c>
      <c r="D90" s="266">
        <v>807.75</v>
      </c>
      <c r="E90" s="82">
        <v>0</v>
      </c>
      <c r="F90" s="189">
        <v>0</v>
      </c>
      <c r="G90" s="82">
        <f>AGO!G50</f>
        <v>0</v>
      </c>
      <c r="H90" s="189">
        <f>AGO!F34</f>
        <v>132390</v>
      </c>
      <c r="I90" s="82">
        <v>0</v>
      </c>
      <c r="J90" s="189">
        <v>0</v>
      </c>
      <c r="K90" s="84" t="e">
        <f t="shared" si="9"/>
        <v>#DIV/0!</v>
      </c>
      <c r="L90" s="268">
        <f t="shared" si="9"/>
        <v>162.89972144846797</v>
      </c>
      <c r="M90" s="84">
        <v>0</v>
      </c>
      <c r="N90" s="268">
        <v>0</v>
      </c>
      <c r="O90" s="84"/>
      <c r="P90" s="84"/>
      <c r="Q90" s="62">
        <f t="shared" si="10"/>
        <v>0</v>
      </c>
      <c r="R90" s="191">
        <f t="shared" si="11"/>
        <v>1066020</v>
      </c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54"/>
      <c r="BD90" s="54"/>
      <c r="BE90" s="54"/>
      <c r="BF90" s="54"/>
    </row>
    <row r="91" spans="1:58">
      <c r="A91" s="51"/>
      <c r="B91" s="60" t="s">
        <v>66</v>
      </c>
      <c r="C91" s="82">
        <v>0</v>
      </c>
      <c r="D91" s="266">
        <v>60.66</v>
      </c>
      <c r="E91" s="82">
        <v>0</v>
      </c>
      <c r="F91" s="189">
        <v>0</v>
      </c>
      <c r="G91" s="82">
        <f>SEP!G58</f>
        <v>0</v>
      </c>
      <c r="H91" s="189">
        <f>SEP!$F$41</f>
        <v>142590</v>
      </c>
      <c r="I91" s="82">
        <v>0</v>
      </c>
      <c r="J91" s="189">
        <v>0</v>
      </c>
      <c r="K91" s="84" t="e">
        <f t="shared" si="9"/>
        <v>#DIV/0!</v>
      </c>
      <c r="L91" s="268">
        <f t="shared" si="9"/>
        <v>2349.642927794263</v>
      </c>
      <c r="M91" s="84">
        <v>0</v>
      </c>
      <c r="N91" s="268">
        <v>0</v>
      </c>
      <c r="O91" s="84"/>
      <c r="P91" s="84"/>
      <c r="Q91" s="62">
        <f t="shared" si="10"/>
        <v>0</v>
      </c>
      <c r="R91" s="191">
        <f t="shared" si="11"/>
        <v>1208610</v>
      </c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54"/>
      <c r="BD91" s="54"/>
      <c r="BE91" s="54"/>
      <c r="BF91" s="54"/>
    </row>
    <row r="92" spans="1:58">
      <c r="A92" s="51"/>
      <c r="B92" s="60" t="s">
        <v>68</v>
      </c>
      <c r="C92" s="82">
        <v>0</v>
      </c>
      <c r="D92" s="266">
        <v>230.07</v>
      </c>
      <c r="E92" s="82">
        <v>0</v>
      </c>
      <c r="F92" s="189">
        <v>0</v>
      </c>
      <c r="G92" s="82">
        <f>OCT!F54</f>
        <v>0</v>
      </c>
      <c r="H92" s="189">
        <f>OCT!$F$37</f>
        <v>218520</v>
      </c>
      <c r="I92" s="82">
        <v>0</v>
      </c>
      <c r="J92" s="189">
        <v>0</v>
      </c>
      <c r="K92" s="84" t="e">
        <f t="shared" si="9"/>
        <v>#DIV/0!</v>
      </c>
      <c r="L92" s="268">
        <f t="shared" si="9"/>
        <v>948.7978875994263</v>
      </c>
      <c r="M92" s="84">
        <v>0</v>
      </c>
      <c r="N92" s="268">
        <v>0</v>
      </c>
      <c r="O92" s="84"/>
      <c r="P92" s="84"/>
      <c r="Q92" s="62">
        <f t="shared" si="10"/>
        <v>0</v>
      </c>
      <c r="R92" s="191">
        <f t="shared" si="11"/>
        <v>1427130</v>
      </c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54"/>
      <c r="BD92" s="54"/>
      <c r="BE92" s="54"/>
      <c r="BF92" s="54"/>
    </row>
    <row r="93" spans="1:58">
      <c r="A93" s="51"/>
      <c r="B93" s="60" t="s">
        <v>71</v>
      </c>
      <c r="C93" s="82">
        <v>0</v>
      </c>
      <c r="D93" s="266">
        <v>368.49</v>
      </c>
      <c r="E93" s="82">
        <v>0</v>
      </c>
      <c r="F93" s="189">
        <v>0</v>
      </c>
      <c r="G93" s="82">
        <f>NOV!F56</f>
        <v>0</v>
      </c>
      <c r="H93" s="189">
        <f>NOV!$F$39</f>
        <v>775320</v>
      </c>
      <c r="I93" s="82">
        <v>0</v>
      </c>
      <c r="J93" s="189">
        <v>0</v>
      </c>
      <c r="K93" s="84" t="e">
        <f t="shared" si="9"/>
        <v>#DIV/0!</v>
      </c>
      <c r="L93" s="268">
        <f t="shared" si="9"/>
        <v>2103.0462427745665</v>
      </c>
      <c r="M93" s="84">
        <v>0</v>
      </c>
      <c r="N93" s="268">
        <v>0</v>
      </c>
      <c r="O93" s="84"/>
      <c r="P93" s="84"/>
      <c r="Q93" s="62">
        <f t="shared" si="10"/>
        <v>0</v>
      </c>
      <c r="R93" s="191">
        <f t="shared" si="11"/>
        <v>2202450</v>
      </c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54"/>
      <c r="BD93" s="54"/>
      <c r="BE93" s="54"/>
      <c r="BF93" s="54"/>
    </row>
    <row r="94" spans="1:58">
      <c r="A94" s="51"/>
      <c r="B94" s="65" t="s">
        <v>74</v>
      </c>
      <c r="C94" s="85">
        <v>0</v>
      </c>
      <c r="D94" s="138">
        <v>245.82</v>
      </c>
      <c r="E94" s="85">
        <v>0</v>
      </c>
      <c r="F94" s="69">
        <v>0</v>
      </c>
      <c r="G94" s="85">
        <f>DIC!F55</f>
        <v>0</v>
      </c>
      <c r="H94" s="69">
        <f>DIC!$F$39</f>
        <v>535080</v>
      </c>
      <c r="I94" s="85">
        <v>0</v>
      </c>
      <c r="J94" s="69">
        <v>0</v>
      </c>
      <c r="K94" s="87" t="e">
        <f t="shared" si="9"/>
        <v>#DIV/0!</v>
      </c>
      <c r="L94" s="269">
        <f t="shared" si="9"/>
        <v>2175.7146692701981</v>
      </c>
      <c r="M94" s="87">
        <v>0</v>
      </c>
      <c r="N94" s="269">
        <v>0</v>
      </c>
      <c r="O94" s="87"/>
      <c r="P94" s="87"/>
      <c r="Q94" s="68">
        <f t="shared" si="10"/>
        <v>0</v>
      </c>
      <c r="R94" s="194">
        <f t="shared" si="11"/>
        <v>2737530</v>
      </c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54"/>
      <c r="BD94" s="54"/>
      <c r="BE94" s="54"/>
      <c r="BF94" s="54"/>
    </row>
    <row r="95" spans="1:58">
      <c r="A95" s="51"/>
      <c r="B95" s="51"/>
      <c r="C95" s="88"/>
      <c r="D95" s="88"/>
      <c r="E95" s="88"/>
      <c r="F95" s="88"/>
      <c r="G95" s="88"/>
      <c r="H95" s="88"/>
      <c r="I95" s="88"/>
      <c r="J95" s="88"/>
      <c r="K95" s="84"/>
      <c r="L95" s="51"/>
      <c r="M95" s="51"/>
      <c r="N95" s="51"/>
      <c r="O95" s="51"/>
      <c r="P95" s="51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70"/>
      <c r="AO95" s="70"/>
      <c r="AP95" s="70"/>
      <c r="AQ95" s="70"/>
      <c r="AR95" s="70"/>
      <c r="AS95" s="70"/>
      <c r="AT95" s="70"/>
      <c r="AU95" s="70"/>
      <c r="AV95" s="70"/>
      <c r="AW95" s="70"/>
      <c r="AX95" s="70"/>
      <c r="AY95" s="70"/>
      <c r="AZ95" s="70"/>
      <c r="BA95" s="70"/>
      <c r="BB95" s="70"/>
      <c r="BC95" s="54"/>
      <c r="BD95" s="54"/>
      <c r="BE95" s="54"/>
      <c r="BF95" s="54"/>
    </row>
    <row r="96" spans="1:58">
      <c r="A96" s="51"/>
      <c r="B96" s="89" t="s">
        <v>50</v>
      </c>
      <c r="C96" s="90">
        <f>SUM(C83:C94)</f>
        <v>0</v>
      </c>
      <c r="D96" s="90">
        <f>SUM(D83:D94)</f>
        <v>4316.6099999999997</v>
      </c>
      <c r="E96" s="90">
        <f t="shared" ref="E96:J96" si="12">SUM(E83:E94)</f>
        <v>0</v>
      </c>
      <c r="F96" s="90">
        <f t="shared" si="12"/>
        <v>0</v>
      </c>
      <c r="G96" s="90">
        <f>SUM(G83:G94)</f>
        <v>0</v>
      </c>
      <c r="H96" s="90">
        <f>SUM(H83:H94)</f>
        <v>2737530</v>
      </c>
      <c r="I96" s="90">
        <f t="shared" si="12"/>
        <v>0</v>
      </c>
      <c r="J96" s="90">
        <f t="shared" si="12"/>
        <v>0</v>
      </c>
      <c r="K96" s="84" t="e">
        <f>+(G96-C96)/C96</f>
        <v>#DIV/0!</v>
      </c>
      <c r="L96" s="84">
        <f>+(H96-D96)/D96</f>
        <v>633.18515918741798</v>
      </c>
      <c r="M96" s="84">
        <v>0</v>
      </c>
      <c r="N96" s="84">
        <v>0</v>
      </c>
      <c r="O96" s="84"/>
      <c r="P96" s="84"/>
      <c r="Q96" s="91">
        <f>Q94</f>
        <v>0</v>
      </c>
      <c r="R96" s="91">
        <f>R94</f>
        <v>2737530</v>
      </c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54"/>
      <c r="BD96" s="54"/>
      <c r="BE96" s="54"/>
      <c r="BF96" s="54"/>
    </row>
    <row r="97" spans="1:58">
      <c r="A97" s="51"/>
      <c r="B97" s="72"/>
      <c r="C97" s="72"/>
      <c r="D97" s="70"/>
      <c r="E97" s="70"/>
      <c r="F97" s="70"/>
      <c r="G97" s="70"/>
      <c r="H97" s="70"/>
      <c r="I97" s="70"/>
      <c r="J97" s="70"/>
      <c r="K97" s="70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4"/>
      <c r="BD97" s="54"/>
      <c r="BE97" s="54"/>
      <c r="BF97" s="54"/>
    </row>
    <row r="98" spans="1:58">
      <c r="A98" s="51"/>
      <c r="B98" s="72"/>
      <c r="C98" s="322"/>
      <c r="D98" s="322"/>
      <c r="E98" s="70"/>
      <c r="F98" s="70"/>
      <c r="G98" s="92" t="s">
        <v>88</v>
      </c>
      <c r="H98" s="70"/>
      <c r="J98" s="93">
        <f>+AY27</f>
        <v>4316.6099999999997</v>
      </c>
      <c r="K98" s="70"/>
      <c r="L98" s="51"/>
      <c r="M98" s="51"/>
      <c r="N98" s="51"/>
      <c r="O98" s="51"/>
      <c r="P98" s="51"/>
      <c r="Q98" s="51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  <c r="AT98" s="70"/>
      <c r="AU98" s="70"/>
      <c r="AV98" s="70"/>
      <c r="AW98" s="70"/>
      <c r="AX98" s="70"/>
      <c r="AY98" s="70"/>
      <c r="AZ98" s="70"/>
      <c r="BA98" s="70"/>
      <c r="BB98" s="70"/>
      <c r="BC98" s="54"/>
      <c r="BD98" s="54"/>
      <c r="BE98" s="54"/>
      <c r="BF98" s="54"/>
    </row>
    <row r="99" spans="1:58">
      <c r="A99" s="51"/>
      <c r="B99" s="72"/>
      <c r="C99" s="72"/>
      <c r="D99" s="70"/>
      <c r="E99" s="70"/>
      <c r="F99" s="70"/>
      <c r="G99" s="70"/>
      <c r="H99" s="70"/>
      <c r="I99" s="70"/>
      <c r="J99" s="70"/>
      <c r="K99" s="70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4"/>
      <c r="BD99" s="54"/>
      <c r="BE99" s="54"/>
      <c r="BF99" s="54"/>
    </row>
    <row r="100" spans="1:58">
      <c r="A100" s="51"/>
      <c r="B100" s="72"/>
      <c r="C100" s="72"/>
      <c r="D100" s="70"/>
      <c r="E100" s="70"/>
      <c r="F100" s="70"/>
      <c r="G100" s="70"/>
      <c r="H100" s="70"/>
      <c r="I100" s="70"/>
      <c r="J100" s="70"/>
      <c r="K100" s="70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4"/>
      <c r="BD100" s="54"/>
      <c r="BE100" s="54"/>
      <c r="BF100" s="54"/>
    </row>
    <row r="101" spans="1:58">
      <c r="A101" s="51"/>
      <c r="B101" s="72"/>
      <c r="C101" s="72"/>
      <c r="D101" s="70"/>
      <c r="E101" s="70"/>
      <c r="F101" s="70"/>
      <c r="G101" s="70"/>
      <c r="H101" s="70"/>
      <c r="I101" s="70"/>
      <c r="J101" s="70"/>
      <c r="K101" s="70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4"/>
      <c r="BD101" s="54"/>
      <c r="BE101" s="54"/>
      <c r="BF101" s="54"/>
    </row>
    <row r="102" spans="1:58">
      <c r="A102" s="51"/>
      <c r="B102" s="72"/>
      <c r="C102" s="72"/>
      <c r="D102" s="70"/>
      <c r="E102" s="70" t="s">
        <v>89</v>
      </c>
      <c r="F102" s="70"/>
      <c r="G102" s="70"/>
      <c r="H102" s="70"/>
      <c r="I102" s="70"/>
      <c r="J102" s="70"/>
      <c r="K102" s="70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4"/>
      <c r="BD102" s="54"/>
      <c r="BE102" s="54"/>
      <c r="BF102" s="54"/>
    </row>
    <row r="103" spans="1:58">
      <c r="A103" s="51"/>
      <c r="B103" s="72"/>
      <c r="C103" s="72"/>
      <c r="D103" s="70"/>
      <c r="E103" s="70"/>
      <c r="F103" s="70"/>
      <c r="G103" s="70"/>
      <c r="H103" s="70"/>
      <c r="I103" s="70"/>
      <c r="J103" s="70"/>
      <c r="K103" s="70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4"/>
      <c r="BD103" s="54"/>
      <c r="BE103" s="54"/>
      <c r="BF103" s="54"/>
    </row>
    <row r="104" spans="1:58">
      <c r="A104" s="51"/>
      <c r="B104" s="72"/>
      <c r="C104" s="72"/>
      <c r="D104" s="70"/>
      <c r="E104" s="70"/>
      <c r="F104" s="70"/>
      <c r="G104" s="70"/>
      <c r="H104" s="70"/>
      <c r="I104" s="70"/>
      <c r="J104" s="70"/>
      <c r="K104" s="70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4"/>
      <c r="BD104" s="54"/>
      <c r="BE104" s="54"/>
      <c r="BF104" s="54"/>
    </row>
    <row r="105" spans="1:58">
      <c r="A105" s="51"/>
      <c r="B105" s="72"/>
      <c r="C105" s="72"/>
      <c r="D105" s="70"/>
      <c r="E105" s="70"/>
      <c r="F105" s="70"/>
      <c r="G105" s="70"/>
      <c r="H105" s="70"/>
      <c r="I105" s="70"/>
      <c r="J105" s="70"/>
      <c r="K105" s="70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4"/>
      <c r="BD105" s="54"/>
      <c r="BE105" s="54"/>
      <c r="BF105" s="54"/>
    </row>
    <row r="106" spans="1:58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4"/>
      <c r="BD106" s="54"/>
      <c r="BE106" s="54"/>
      <c r="BF106" s="54"/>
    </row>
    <row r="107" spans="1:58">
      <c r="A107" s="51"/>
      <c r="B107" s="94"/>
      <c r="C107" s="94"/>
      <c r="D107" s="70"/>
      <c r="E107" s="70"/>
      <c r="F107" s="70"/>
      <c r="G107" s="70"/>
      <c r="H107" s="70"/>
      <c r="I107" s="70"/>
      <c r="J107" s="70"/>
      <c r="K107" s="70"/>
      <c r="L107" s="51"/>
      <c r="M107" s="70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4"/>
      <c r="BD107" s="54"/>
      <c r="BE107" s="54"/>
      <c r="BF107" s="54"/>
    </row>
    <row r="108" spans="1:58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4"/>
      <c r="BD108" s="54"/>
      <c r="BE108" s="54"/>
      <c r="BF108" s="54"/>
    </row>
    <row r="109" spans="1:58">
      <c r="A109" s="51"/>
      <c r="B109" s="51"/>
      <c r="C109" s="51"/>
      <c r="D109" s="51"/>
      <c r="E109" s="70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4"/>
      <c r="BD109" s="54"/>
      <c r="BE109" s="54"/>
      <c r="BF109" s="54"/>
    </row>
    <row r="110" spans="1:58">
      <c r="A110" s="51"/>
      <c r="B110" s="95"/>
      <c r="C110" s="96"/>
      <c r="D110" s="51"/>
      <c r="E110" s="51"/>
      <c r="F110" s="51"/>
      <c r="G110" s="51"/>
      <c r="H110" s="51"/>
      <c r="I110" s="51"/>
      <c r="J110" s="51"/>
      <c r="K110" s="51"/>
      <c r="L110" s="70"/>
      <c r="M110" s="97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4"/>
      <c r="BD110" s="54"/>
      <c r="BE110" s="54"/>
      <c r="BF110" s="54"/>
    </row>
    <row r="111" spans="1:58" ht="15.75">
      <c r="A111" s="51"/>
      <c r="B111" s="98"/>
      <c r="C111" s="95"/>
      <c r="D111" s="51"/>
      <c r="E111" s="51"/>
      <c r="F111" s="99"/>
      <c r="G111" s="99"/>
      <c r="H111" s="99"/>
      <c r="I111" s="99"/>
      <c r="J111" s="99"/>
      <c r="K111" s="99"/>
      <c r="L111" s="99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4"/>
      <c r="BD111" s="54"/>
      <c r="BE111" s="54"/>
      <c r="BF111" s="54"/>
    </row>
    <row r="112" spans="1:58" ht="12.75" customHeight="1">
      <c r="A112" s="51"/>
      <c r="B112" s="95"/>
      <c r="C112" s="96"/>
      <c r="D112" s="51"/>
      <c r="E112" s="99"/>
      <c r="F112" s="99"/>
      <c r="G112" s="99"/>
      <c r="H112" s="99"/>
      <c r="I112" s="99"/>
      <c r="J112" s="99"/>
      <c r="K112" s="99"/>
      <c r="L112" s="99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4"/>
      <c r="BD112" s="54"/>
      <c r="BE112" s="54"/>
      <c r="BF112" s="54"/>
    </row>
    <row r="113" spans="1:58" ht="12.75" customHeight="1">
      <c r="A113" s="51"/>
      <c r="B113" s="95"/>
      <c r="C113" s="96"/>
      <c r="D113" s="51"/>
      <c r="E113" s="99"/>
      <c r="F113" s="99"/>
      <c r="G113" s="99"/>
      <c r="H113" s="99"/>
      <c r="I113" s="99"/>
      <c r="J113" s="99"/>
      <c r="K113" s="99"/>
      <c r="L113" s="99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4"/>
      <c r="BD113" s="54"/>
      <c r="BE113" s="54"/>
      <c r="BF113" s="54"/>
    </row>
    <row r="114" spans="1:58" ht="12.75" customHeight="1">
      <c r="A114" s="51"/>
      <c r="B114" s="95"/>
      <c r="C114" s="96"/>
      <c r="D114" s="51"/>
      <c r="E114" s="99"/>
      <c r="F114" s="99"/>
      <c r="G114" s="99"/>
      <c r="H114" s="99"/>
      <c r="I114" s="99"/>
      <c r="J114" s="99"/>
      <c r="K114" s="99"/>
      <c r="L114" s="99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4"/>
      <c r="BD114" s="54"/>
      <c r="BE114" s="54"/>
      <c r="BF114" s="54"/>
    </row>
    <row r="115" spans="1:58">
      <c r="A115" s="51"/>
      <c r="B115" s="95"/>
      <c r="C115" s="96"/>
      <c r="D115" s="51"/>
      <c r="E115" s="72"/>
      <c r="F115" s="51"/>
      <c r="G115" s="51"/>
      <c r="H115" s="51"/>
      <c r="I115" s="51"/>
      <c r="J115" s="51"/>
      <c r="K115" s="72"/>
      <c r="L115" s="100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4"/>
      <c r="BD115" s="54"/>
      <c r="BE115" s="54"/>
      <c r="BF115" s="54"/>
    </row>
    <row r="116" spans="1:58">
      <c r="A116" s="51"/>
      <c r="B116" s="95"/>
      <c r="C116" s="96"/>
      <c r="D116" s="51"/>
      <c r="E116" s="72"/>
      <c r="F116" s="100"/>
      <c r="G116" s="100"/>
      <c r="H116" s="100"/>
      <c r="I116" s="100"/>
      <c r="J116" s="100"/>
      <c r="K116" s="100"/>
      <c r="L116" s="100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4"/>
      <c r="BD116" s="54"/>
      <c r="BE116" s="54"/>
      <c r="BF116" s="54"/>
    </row>
    <row r="117" spans="1:58">
      <c r="A117" s="51"/>
      <c r="B117" s="95"/>
      <c r="C117" s="96"/>
      <c r="D117" s="51"/>
      <c r="E117" s="51"/>
      <c r="F117" s="51"/>
      <c r="G117" s="51"/>
      <c r="H117" s="51"/>
      <c r="I117" s="100"/>
      <c r="J117" s="100"/>
      <c r="K117" s="100"/>
      <c r="L117" s="100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4"/>
      <c r="BD117" s="54"/>
      <c r="BE117" s="54"/>
      <c r="BF117" s="54"/>
    </row>
    <row r="118" spans="1:58">
      <c r="A118" s="51"/>
      <c r="B118" s="95"/>
      <c r="C118" s="96"/>
      <c r="D118" s="51"/>
      <c r="E118" s="51"/>
      <c r="F118" s="100"/>
      <c r="G118" s="51"/>
      <c r="H118" s="100"/>
      <c r="I118" s="100"/>
      <c r="J118" s="100"/>
      <c r="K118" s="100"/>
      <c r="L118" s="100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4"/>
      <c r="BD118" s="54"/>
      <c r="BE118" s="54"/>
      <c r="BF118" s="54"/>
    </row>
    <row r="119" spans="1:58">
      <c r="A119" s="51"/>
      <c r="B119" s="95"/>
      <c r="C119" s="96"/>
      <c r="D119" s="95"/>
      <c r="E119" s="51"/>
      <c r="F119" s="100"/>
      <c r="G119" s="51"/>
      <c r="H119" s="100"/>
      <c r="I119" s="100"/>
      <c r="J119" s="100"/>
      <c r="K119" s="100"/>
      <c r="L119" s="100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4"/>
      <c r="BD119" s="54"/>
      <c r="BE119" s="54"/>
      <c r="BF119" s="54"/>
    </row>
    <row r="120" spans="1:58">
      <c r="A120" s="51"/>
      <c r="B120" s="95"/>
      <c r="C120" s="96"/>
      <c r="D120" s="95"/>
      <c r="E120" s="96"/>
      <c r="F120" s="100"/>
      <c r="G120" s="51"/>
      <c r="H120" s="100"/>
      <c r="I120" s="100"/>
      <c r="J120" s="100"/>
      <c r="K120" s="100"/>
      <c r="L120" s="100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4"/>
      <c r="BD120" s="54"/>
      <c r="BE120" s="54"/>
      <c r="BF120" s="54"/>
    </row>
    <row r="121" spans="1:58">
      <c r="A121" s="51"/>
      <c r="B121" s="95"/>
      <c r="C121" s="96"/>
      <c r="D121" s="95"/>
      <c r="E121" s="96"/>
      <c r="F121" s="100"/>
      <c r="G121" s="51"/>
      <c r="H121" s="100"/>
      <c r="I121" s="100"/>
      <c r="J121" s="100"/>
      <c r="K121" s="100"/>
      <c r="L121" s="100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4"/>
      <c r="BD121" s="54"/>
      <c r="BE121" s="54"/>
      <c r="BF121" s="54"/>
    </row>
    <row r="122" spans="1:58">
      <c r="A122" s="51"/>
      <c r="B122" s="95"/>
      <c r="C122" s="96"/>
      <c r="D122" s="95"/>
      <c r="E122" s="96"/>
      <c r="F122" s="100"/>
      <c r="G122" s="51"/>
      <c r="H122" s="100"/>
      <c r="I122" s="100"/>
      <c r="J122" s="100"/>
      <c r="K122" s="100"/>
      <c r="L122" s="100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4"/>
      <c r="BD122" s="54"/>
      <c r="BE122" s="54"/>
      <c r="BF122" s="54"/>
    </row>
    <row r="123" spans="1:58">
      <c r="A123" s="51"/>
      <c r="B123" s="95"/>
      <c r="C123" s="96"/>
      <c r="D123" s="95"/>
      <c r="E123" s="96"/>
      <c r="F123" s="100"/>
      <c r="G123" s="51"/>
      <c r="H123" s="100"/>
      <c r="I123" s="100"/>
      <c r="J123" s="100"/>
      <c r="K123" s="100"/>
      <c r="L123" s="100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4"/>
      <c r="BD123" s="54"/>
      <c r="BE123" s="54"/>
      <c r="BF123" s="54"/>
    </row>
    <row r="124" spans="1:58">
      <c r="A124" s="51"/>
      <c r="B124" s="95"/>
      <c r="C124" s="96"/>
      <c r="D124" s="95"/>
      <c r="E124" s="96"/>
      <c r="F124" s="100"/>
      <c r="G124" s="51"/>
      <c r="H124" s="100"/>
      <c r="I124" s="100"/>
      <c r="J124" s="100"/>
      <c r="K124" s="96"/>
      <c r="L124" s="100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4"/>
      <c r="BD124" s="54"/>
      <c r="BE124" s="54"/>
      <c r="BF124" s="54"/>
    </row>
    <row r="125" spans="1:58">
      <c r="A125" s="51"/>
      <c r="B125" s="95"/>
      <c r="C125" s="96"/>
      <c r="D125" s="95"/>
      <c r="E125" s="96"/>
      <c r="F125" s="100"/>
      <c r="G125" s="51"/>
      <c r="H125" s="100"/>
      <c r="I125" s="100"/>
      <c r="J125" s="100"/>
      <c r="K125" s="100"/>
      <c r="L125" s="100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4"/>
      <c r="BD125" s="54"/>
      <c r="BE125" s="54"/>
      <c r="BF125" s="54"/>
    </row>
    <row r="126" spans="1:58">
      <c r="A126" s="51"/>
      <c r="B126" s="95"/>
      <c r="C126" s="96"/>
      <c r="D126" s="95"/>
      <c r="E126" s="96"/>
      <c r="F126" s="100"/>
      <c r="G126" s="51"/>
      <c r="H126" s="100"/>
      <c r="I126" s="100"/>
      <c r="J126" s="100"/>
      <c r="K126" s="100"/>
      <c r="L126" s="100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4"/>
      <c r="BD126" s="54"/>
      <c r="BE126" s="54"/>
      <c r="BF126" s="54"/>
    </row>
    <row r="127" spans="1:58">
      <c r="A127" s="51"/>
      <c r="B127" s="95"/>
      <c r="C127" s="96"/>
      <c r="D127" s="95"/>
      <c r="E127" s="96"/>
      <c r="F127" s="100"/>
      <c r="G127" s="51"/>
      <c r="H127" s="100"/>
      <c r="I127" s="100"/>
      <c r="J127" s="100"/>
      <c r="K127" s="100"/>
      <c r="L127" s="100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4"/>
      <c r="BD127" s="54"/>
      <c r="BE127" s="54"/>
      <c r="BF127" s="54"/>
    </row>
    <row r="128" spans="1:58">
      <c r="A128" s="51"/>
      <c r="B128" s="95"/>
      <c r="C128" s="96"/>
      <c r="D128" s="95"/>
      <c r="E128" s="96"/>
      <c r="F128" s="100"/>
      <c r="G128" s="51"/>
      <c r="H128" s="100"/>
      <c r="I128" s="100"/>
      <c r="J128" s="100"/>
      <c r="K128" s="100"/>
      <c r="L128" s="100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4"/>
      <c r="BD128" s="54"/>
      <c r="BE128" s="54"/>
      <c r="BF128" s="54"/>
    </row>
    <row r="129" spans="1:58">
      <c r="A129" s="51"/>
      <c r="B129" s="95"/>
      <c r="C129" s="96"/>
      <c r="D129" s="95"/>
      <c r="E129" s="96"/>
      <c r="F129" s="100"/>
      <c r="G129" s="51"/>
      <c r="H129" s="100"/>
      <c r="I129" s="100"/>
      <c r="J129" s="100"/>
      <c r="K129" s="100"/>
      <c r="L129" s="100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4"/>
      <c r="BD129" s="54"/>
      <c r="BE129" s="54"/>
      <c r="BF129" s="54"/>
    </row>
    <row r="130" spans="1:58">
      <c r="A130" s="51"/>
      <c r="B130" s="95"/>
      <c r="C130" s="96"/>
      <c r="D130" s="95"/>
      <c r="E130" s="96"/>
      <c r="F130" s="100"/>
      <c r="G130" s="51"/>
      <c r="H130" s="100"/>
      <c r="I130" s="100"/>
      <c r="J130" s="100"/>
      <c r="K130" s="100"/>
      <c r="L130" s="100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4"/>
      <c r="BD130" s="54"/>
      <c r="BE130" s="54"/>
      <c r="BF130" s="54"/>
    </row>
    <row r="131" spans="1:58">
      <c r="A131" s="51"/>
      <c r="B131" s="95"/>
      <c r="C131" s="96"/>
      <c r="D131" s="95"/>
      <c r="E131" s="96"/>
      <c r="F131" s="100"/>
      <c r="G131" s="51"/>
      <c r="H131" s="100"/>
      <c r="I131" s="100"/>
      <c r="J131" s="100"/>
      <c r="K131" s="100"/>
      <c r="L131" s="100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E131" s="54"/>
      <c r="BF131" s="54"/>
    </row>
    <row r="132" spans="1:58">
      <c r="A132" s="51"/>
      <c r="B132" s="95"/>
      <c r="C132" s="96"/>
      <c r="D132" s="95"/>
      <c r="E132" s="96"/>
      <c r="F132" s="100"/>
      <c r="G132" s="51"/>
      <c r="H132" s="100"/>
      <c r="I132" s="100"/>
      <c r="J132" s="100"/>
      <c r="K132" s="100"/>
      <c r="L132" s="100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4"/>
      <c r="BD132" s="54"/>
      <c r="BE132" s="54"/>
      <c r="BF132" s="54"/>
    </row>
    <row r="133" spans="1:58">
      <c r="A133" s="51"/>
      <c r="B133" s="95"/>
      <c r="C133" s="96"/>
      <c r="D133" s="95"/>
      <c r="E133" s="96"/>
      <c r="F133" s="100"/>
      <c r="G133" s="51"/>
      <c r="H133" s="100"/>
      <c r="I133" s="100"/>
      <c r="J133" s="100"/>
      <c r="K133" s="100"/>
      <c r="L133" s="100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4"/>
      <c r="BD133" s="54"/>
      <c r="BE133" s="54"/>
      <c r="BF133" s="54"/>
    </row>
    <row r="134" spans="1:58">
      <c r="A134" s="51"/>
      <c r="B134" s="95"/>
      <c r="C134" s="96"/>
      <c r="D134" s="51"/>
      <c r="E134" s="96"/>
      <c r="F134" s="313"/>
      <c r="G134" s="313"/>
      <c r="H134" s="313"/>
      <c r="I134" s="313"/>
      <c r="J134" s="313"/>
      <c r="K134" s="313"/>
      <c r="L134" s="313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4"/>
      <c r="BD134" s="54"/>
      <c r="BE134" s="54"/>
      <c r="BF134" s="54"/>
    </row>
    <row r="135" spans="1:58">
      <c r="A135" s="51"/>
      <c r="C135" s="96"/>
      <c r="D135" s="100"/>
      <c r="E135" s="96"/>
      <c r="F135" s="313"/>
      <c r="G135" s="313"/>
      <c r="H135" s="313"/>
      <c r="I135" s="313"/>
      <c r="J135" s="313"/>
      <c r="K135" s="313"/>
      <c r="L135" s="313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4"/>
      <c r="BD135" s="54"/>
      <c r="BE135" s="54"/>
      <c r="BF135" s="54"/>
    </row>
    <row r="136" spans="1:58" ht="15.75">
      <c r="A136" s="51"/>
      <c r="B136" s="101" t="s">
        <v>24</v>
      </c>
      <c r="C136" s="102" t="s">
        <v>28</v>
      </c>
      <c r="D136" s="100"/>
      <c r="E136" s="61" t="s">
        <v>90</v>
      </c>
      <c r="F136" s="103"/>
      <c r="G136" s="103"/>
      <c r="H136" s="103"/>
      <c r="I136" s="103"/>
      <c r="J136" s="103"/>
      <c r="K136" s="103"/>
      <c r="L136" s="103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4"/>
      <c r="BD136" s="54"/>
      <c r="BE136" s="54"/>
      <c r="BF136" s="54"/>
    </row>
    <row r="137" spans="1:58">
      <c r="A137" s="51"/>
      <c r="B137" s="95"/>
      <c r="C137" s="104"/>
      <c r="D137" s="51"/>
      <c r="E137" s="61"/>
      <c r="F137" s="51"/>
      <c r="G137" s="100"/>
      <c r="H137" s="100"/>
      <c r="I137" s="100"/>
      <c r="J137" s="100"/>
      <c r="K137" s="100"/>
      <c r="L137" s="100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4"/>
      <c r="BD137" s="54"/>
      <c r="BE137" s="54"/>
      <c r="BF137" s="54"/>
    </row>
    <row r="138" spans="1:58">
      <c r="A138" s="51"/>
      <c r="B138" s="95"/>
      <c r="C138" s="104"/>
      <c r="D138" s="51"/>
      <c r="E138" s="100"/>
      <c r="F138" s="51"/>
      <c r="G138" s="100"/>
      <c r="H138" s="100"/>
      <c r="I138" s="100"/>
      <c r="J138" s="100"/>
      <c r="K138" s="100"/>
      <c r="L138" s="100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4"/>
      <c r="BD138" s="54"/>
      <c r="BE138" s="54"/>
      <c r="BF138" s="54"/>
    </row>
    <row r="139" spans="1:58">
      <c r="A139" s="51"/>
      <c r="B139" s="95"/>
      <c r="C139" s="104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4"/>
      <c r="BD139" s="54"/>
    </row>
    <row r="140" spans="1:58">
      <c r="A140" s="51"/>
      <c r="B140" s="95"/>
      <c r="C140" s="104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4"/>
      <c r="BD140" s="54"/>
    </row>
    <row r="141" spans="1:58">
      <c r="A141" s="51"/>
      <c r="B141" s="95"/>
      <c r="C141" s="104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4"/>
      <c r="BD141" s="54"/>
    </row>
    <row r="142" spans="1:58">
      <c r="A142" s="51"/>
      <c r="B142" s="95"/>
      <c r="C142" s="104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1"/>
      <c r="AF142" s="51"/>
      <c r="AG142" s="51"/>
      <c r="AH142" s="51"/>
      <c r="AI142" s="51"/>
      <c r="AJ142" s="51"/>
      <c r="AK142" s="51"/>
      <c r="AL142" s="51"/>
      <c r="AM142" s="51"/>
      <c r="AN142" s="51"/>
      <c r="AO142" s="51"/>
      <c r="AP142" s="51"/>
      <c r="AQ142" s="51"/>
      <c r="AR142" s="51"/>
      <c r="AS142" s="51"/>
      <c r="AT142" s="51"/>
      <c r="AU142" s="51"/>
      <c r="AV142" s="51"/>
      <c r="AW142" s="51"/>
      <c r="AX142" s="51"/>
      <c r="AY142" s="51"/>
      <c r="AZ142" s="51"/>
      <c r="BA142" s="51"/>
      <c r="BB142" s="51"/>
      <c r="BC142" s="54"/>
      <c r="BD142" s="54"/>
    </row>
    <row r="143" spans="1:58">
      <c r="A143" s="51"/>
      <c r="B143" s="98"/>
      <c r="C143" s="104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4"/>
      <c r="BD143" s="54"/>
    </row>
    <row r="144" spans="1:58">
      <c r="A144" s="51"/>
      <c r="B144" s="98"/>
      <c r="C144" s="104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4"/>
      <c r="BD144" s="54"/>
    </row>
    <row r="145" spans="1:56">
      <c r="A145" s="51"/>
      <c r="B145" s="98"/>
      <c r="C145" s="104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4"/>
      <c r="BD145" s="54"/>
    </row>
    <row r="146" spans="1:56">
      <c r="A146" s="51"/>
      <c r="B146" s="98"/>
      <c r="C146" s="104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4"/>
      <c r="BD146" s="54"/>
    </row>
    <row r="147" spans="1:56">
      <c r="A147" s="51"/>
      <c r="B147" s="98"/>
      <c r="C147" s="104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4"/>
      <c r="BD147" s="54"/>
    </row>
    <row r="148" spans="1:56">
      <c r="A148" s="51"/>
      <c r="B148" s="98"/>
      <c r="C148" s="104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4"/>
      <c r="BD148" s="54"/>
    </row>
    <row r="149" spans="1:56">
      <c r="A149" s="51"/>
      <c r="B149" s="98"/>
      <c r="C149" s="104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4"/>
      <c r="BD149" s="54"/>
    </row>
    <row r="150" spans="1:56">
      <c r="A150" s="51"/>
      <c r="B150" s="98"/>
      <c r="C150" s="104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4"/>
      <c r="BD150" s="54"/>
    </row>
    <row r="151" spans="1:56">
      <c r="A151" s="51"/>
      <c r="B151" s="98"/>
      <c r="C151" s="104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51"/>
      <c r="AY151" s="51"/>
      <c r="AZ151" s="51"/>
      <c r="BA151" s="51"/>
      <c r="BB151" s="51"/>
      <c r="BC151" s="54"/>
      <c r="BD151" s="54"/>
    </row>
    <row r="152" spans="1:56">
      <c r="A152" s="51"/>
      <c r="B152" s="98"/>
      <c r="C152" s="104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/>
      <c r="AI152" s="51"/>
      <c r="AJ152" s="51"/>
      <c r="AK152" s="51"/>
      <c r="AL152" s="51"/>
      <c r="AM152" s="51"/>
      <c r="AN152" s="51"/>
      <c r="AO152" s="51"/>
      <c r="AP152" s="51"/>
      <c r="AQ152" s="51"/>
      <c r="AR152" s="51"/>
      <c r="AS152" s="51"/>
      <c r="AT152" s="51"/>
      <c r="AU152" s="51"/>
      <c r="AV152" s="51"/>
      <c r="AW152" s="51"/>
      <c r="AX152" s="51"/>
      <c r="AY152" s="51"/>
      <c r="AZ152" s="51"/>
      <c r="BA152" s="51"/>
      <c r="BB152" s="51"/>
      <c r="BC152" s="54"/>
      <c r="BD152" s="54"/>
    </row>
    <row r="153" spans="1:56">
      <c r="A153" s="51"/>
      <c r="B153" s="98"/>
      <c r="C153" s="104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  <c r="AM153" s="51"/>
      <c r="AN153" s="51"/>
      <c r="AO153" s="51"/>
      <c r="AP153" s="51"/>
      <c r="AQ153" s="51"/>
      <c r="AR153" s="51"/>
      <c r="AS153" s="51"/>
      <c r="AT153" s="51"/>
      <c r="AU153" s="51"/>
      <c r="AV153" s="51"/>
      <c r="AW153" s="51"/>
      <c r="AX153" s="51"/>
      <c r="AY153" s="51"/>
      <c r="AZ153" s="51"/>
      <c r="BA153" s="51"/>
      <c r="BB153" s="51"/>
      <c r="BC153" s="54"/>
      <c r="BD153" s="54"/>
    </row>
    <row r="154" spans="1:56">
      <c r="A154" s="51"/>
      <c r="B154" s="98"/>
      <c r="C154" s="104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  <c r="AR154" s="51"/>
      <c r="AS154" s="51"/>
      <c r="AT154" s="51"/>
      <c r="AU154" s="51"/>
      <c r="AV154" s="51"/>
      <c r="AW154" s="51"/>
      <c r="AX154" s="51"/>
      <c r="AY154" s="51"/>
      <c r="AZ154" s="51"/>
      <c r="BA154" s="51"/>
      <c r="BB154" s="51"/>
      <c r="BC154" s="54"/>
      <c r="BD154" s="54"/>
    </row>
    <row r="155" spans="1:56">
      <c r="A155" s="51"/>
      <c r="B155" s="98"/>
      <c r="C155" s="104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51"/>
      <c r="AY155" s="51"/>
      <c r="AZ155" s="51"/>
      <c r="BA155" s="51"/>
      <c r="BB155" s="51"/>
      <c r="BC155" s="54"/>
      <c r="BD155" s="54"/>
    </row>
    <row r="156" spans="1:56">
      <c r="A156" s="51"/>
      <c r="B156" s="98"/>
      <c r="C156" s="105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  <c r="BA156" s="51"/>
      <c r="BB156" s="51"/>
      <c r="BC156" s="54"/>
      <c r="BD156" s="54"/>
    </row>
    <row r="157" spans="1:56">
      <c r="A157" s="51"/>
      <c r="B157" s="98"/>
      <c r="C157" s="105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  <c r="AX157" s="51"/>
      <c r="AY157" s="51"/>
      <c r="AZ157" s="51"/>
      <c r="BA157" s="51"/>
      <c r="BB157" s="51"/>
      <c r="BC157" s="54"/>
      <c r="BD157" s="54"/>
    </row>
    <row r="158" spans="1:56">
      <c r="A158" s="51"/>
      <c r="B158" s="98"/>
      <c r="C158" s="105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  <c r="BA158" s="51"/>
      <c r="BB158" s="51"/>
      <c r="BC158" s="54"/>
      <c r="BD158" s="54"/>
    </row>
    <row r="159" spans="1:56">
      <c r="A159" s="51"/>
      <c r="B159" s="98"/>
      <c r="C159" s="105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51"/>
      <c r="AY159" s="51"/>
      <c r="AZ159" s="51"/>
      <c r="BA159" s="51"/>
      <c r="BB159" s="51"/>
      <c r="BC159" s="54"/>
      <c r="BD159" s="54"/>
    </row>
    <row r="160" spans="1:56">
      <c r="A160" s="51"/>
      <c r="B160" s="98"/>
      <c r="C160" s="106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  <c r="AX160" s="51"/>
      <c r="AY160" s="51"/>
      <c r="AZ160" s="51"/>
      <c r="BA160" s="51"/>
      <c r="BB160" s="51"/>
      <c r="BC160" s="54"/>
      <c r="BD160" s="54"/>
    </row>
    <row r="161" spans="1:56">
      <c r="A161" s="51"/>
      <c r="B161" s="98"/>
      <c r="C161" s="105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  <c r="AX161" s="51"/>
      <c r="AY161" s="51"/>
      <c r="AZ161" s="51"/>
      <c r="BA161" s="51"/>
      <c r="BB161" s="51"/>
      <c r="BC161" s="54"/>
      <c r="BD161" s="54"/>
    </row>
    <row r="162" spans="1:56">
      <c r="A162" s="51"/>
      <c r="B162" s="98"/>
      <c r="C162" s="106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  <c r="AR162" s="51"/>
      <c r="AS162" s="51"/>
      <c r="AT162" s="51"/>
      <c r="AU162" s="51"/>
      <c r="AV162" s="51"/>
      <c r="AW162" s="51"/>
      <c r="AX162" s="51"/>
      <c r="AY162" s="51"/>
      <c r="AZ162" s="51"/>
      <c r="BA162" s="51"/>
      <c r="BB162" s="51"/>
      <c r="BC162" s="54"/>
      <c r="BD162" s="54"/>
    </row>
    <row r="163" spans="1:56">
      <c r="A163" s="51"/>
      <c r="B163" s="98"/>
      <c r="C163" s="105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51"/>
      <c r="AY163" s="51"/>
      <c r="AZ163" s="51"/>
      <c r="BA163" s="51"/>
      <c r="BB163" s="51"/>
      <c r="BC163" s="54"/>
      <c r="BD163" s="54"/>
    </row>
    <row r="164" spans="1:56">
      <c r="A164" s="51"/>
      <c r="B164" s="98"/>
      <c r="C164" s="105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51"/>
      <c r="AQ164" s="51"/>
      <c r="AR164" s="51"/>
      <c r="AS164" s="51"/>
      <c r="AT164" s="51"/>
      <c r="AU164" s="51"/>
      <c r="AV164" s="51"/>
      <c r="AW164" s="51"/>
      <c r="AX164" s="51"/>
      <c r="AY164" s="51"/>
      <c r="AZ164" s="51"/>
      <c r="BA164" s="51"/>
      <c r="BB164" s="51"/>
      <c r="BC164" s="54"/>
      <c r="BD164" s="54"/>
    </row>
    <row r="165" spans="1:56">
      <c r="A165" s="51"/>
      <c r="B165" s="98"/>
      <c r="C165" s="105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51"/>
      <c r="AQ165" s="51"/>
      <c r="AR165" s="51"/>
      <c r="AS165" s="51"/>
      <c r="AT165" s="51"/>
      <c r="AU165" s="51"/>
      <c r="AV165" s="51"/>
      <c r="AW165" s="51"/>
      <c r="AX165" s="51"/>
      <c r="AY165" s="51"/>
      <c r="AZ165" s="51"/>
      <c r="BA165" s="51"/>
      <c r="BB165" s="51"/>
      <c r="BC165" s="54"/>
      <c r="BD165" s="54"/>
    </row>
    <row r="166" spans="1:56">
      <c r="A166" s="51"/>
      <c r="B166" s="98"/>
      <c r="C166" s="105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  <c r="AM166" s="51"/>
      <c r="AN166" s="51"/>
      <c r="AO166" s="51"/>
      <c r="AP166" s="51"/>
      <c r="AQ166" s="51"/>
      <c r="AR166" s="51"/>
      <c r="AS166" s="51"/>
      <c r="AT166" s="51"/>
      <c r="AU166" s="51"/>
      <c r="AV166" s="51"/>
      <c r="AW166" s="51"/>
      <c r="AX166" s="51"/>
      <c r="AY166" s="51"/>
      <c r="AZ166" s="51"/>
      <c r="BA166" s="51"/>
      <c r="BB166" s="51"/>
      <c r="BC166" s="54"/>
      <c r="BD166" s="54"/>
    </row>
    <row r="167" spans="1:56">
      <c r="A167" s="51"/>
      <c r="B167" s="98"/>
      <c r="C167" s="105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51"/>
      <c r="AY167" s="51"/>
      <c r="AZ167" s="51"/>
      <c r="BA167" s="51"/>
      <c r="BB167" s="51"/>
      <c r="BC167" s="54"/>
      <c r="BD167" s="54"/>
    </row>
    <row r="168" spans="1:56">
      <c r="A168" s="51"/>
      <c r="B168" s="107"/>
      <c r="C168" s="108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  <c r="AM168" s="51"/>
      <c r="AN168" s="51"/>
      <c r="AO168" s="51"/>
      <c r="AP168" s="51"/>
      <c r="AQ168" s="51"/>
      <c r="AR168" s="51"/>
      <c r="AS168" s="51"/>
      <c r="AT168" s="51"/>
      <c r="AU168" s="51"/>
      <c r="AV168" s="51"/>
      <c r="AW168" s="51"/>
      <c r="AX168" s="51"/>
      <c r="AY168" s="51"/>
      <c r="AZ168" s="51"/>
      <c r="BA168" s="51"/>
      <c r="BB168" s="51"/>
      <c r="BC168" s="54"/>
      <c r="BD168" s="54"/>
    </row>
    <row r="169" spans="1:56">
      <c r="A169" s="51"/>
      <c r="B169" s="98"/>
      <c r="C169" s="108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  <c r="AR169" s="51"/>
      <c r="AS169" s="51"/>
      <c r="AT169" s="51"/>
      <c r="AU169" s="51"/>
      <c r="AV169" s="51"/>
      <c r="AW169" s="51"/>
      <c r="AX169" s="51"/>
      <c r="AY169" s="51"/>
      <c r="AZ169" s="51"/>
      <c r="BA169" s="51"/>
      <c r="BB169" s="51"/>
      <c r="BC169" s="54"/>
      <c r="BD169" s="54"/>
    </row>
    <row r="170" spans="1:56">
      <c r="A170" s="51"/>
      <c r="B170" s="98"/>
      <c r="C170" s="108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1"/>
      <c r="AF170" s="51"/>
      <c r="AG170" s="51"/>
      <c r="AH170" s="51"/>
      <c r="AI170" s="51"/>
      <c r="AJ170" s="51"/>
      <c r="AK170" s="51"/>
      <c r="AL170" s="51"/>
      <c r="AM170" s="51"/>
      <c r="AN170" s="51"/>
      <c r="AO170" s="51"/>
      <c r="AP170" s="51"/>
      <c r="AQ170" s="51"/>
      <c r="AR170" s="51"/>
      <c r="AS170" s="51"/>
      <c r="AT170" s="51"/>
      <c r="AU170" s="51"/>
      <c r="AV170" s="51"/>
      <c r="AW170" s="51"/>
      <c r="AX170" s="51"/>
      <c r="AY170" s="51"/>
      <c r="AZ170" s="51"/>
      <c r="BA170" s="51"/>
      <c r="BB170" s="51"/>
      <c r="BC170" s="54"/>
      <c r="BD170" s="54"/>
    </row>
    <row r="171" spans="1:56">
      <c r="A171" s="51"/>
      <c r="B171" s="98"/>
      <c r="C171" s="108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51"/>
      <c r="AY171" s="51"/>
      <c r="AZ171" s="51"/>
      <c r="BA171" s="51"/>
      <c r="BB171" s="51"/>
      <c r="BC171" s="54"/>
      <c r="BD171" s="54"/>
    </row>
    <row r="172" spans="1:56">
      <c r="A172" s="51"/>
      <c r="B172" s="98"/>
      <c r="C172" s="108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  <c r="AH172" s="51"/>
      <c r="AI172" s="51"/>
      <c r="AJ172" s="51"/>
      <c r="AK172" s="51"/>
      <c r="AL172" s="51"/>
      <c r="AM172" s="51"/>
      <c r="AN172" s="51"/>
      <c r="AO172" s="51"/>
      <c r="AP172" s="51"/>
      <c r="AQ172" s="51"/>
      <c r="AR172" s="51"/>
      <c r="AS172" s="51"/>
      <c r="AT172" s="51"/>
      <c r="AU172" s="51"/>
      <c r="AV172" s="51"/>
      <c r="AW172" s="51"/>
      <c r="AX172" s="51"/>
      <c r="AY172" s="51"/>
      <c r="AZ172" s="51"/>
      <c r="BA172" s="51"/>
      <c r="BB172" s="51"/>
      <c r="BC172" s="54"/>
      <c r="BD172" s="54"/>
    </row>
    <row r="173" spans="1:56">
      <c r="A173" s="51"/>
      <c r="B173" s="51"/>
      <c r="C173" s="108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  <c r="AK173" s="51"/>
      <c r="AL173" s="51"/>
      <c r="AM173" s="51"/>
      <c r="AN173" s="51"/>
      <c r="AO173" s="51"/>
      <c r="AP173" s="51"/>
      <c r="AQ173" s="51"/>
      <c r="AR173" s="51"/>
      <c r="AS173" s="51"/>
      <c r="AT173" s="51"/>
      <c r="AU173" s="51"/>
      <c r="AV173" s="51"/>
      <c r="AW173" s="51"/>
      <c r="AX173" s="51"/>
      <c r="AY173" s="51"/>
      <c r="AZ173" s="51"/>
      <c r="BA173" s="51"/>
      <c r="BB173" s="51"/>
      <c r="BC173" s="54"/>
      <c r="BD173" s="54"/>
    </row>
    <row r="174" spans="1:56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  <c r="AK174" s="51"/>
      <c r="AL174" s="51"/>
      <c r="AM174" s="51"/>
      <c r="AN174" s="51"/>
      <c r="AO174" s="51"/>
      <c r="AP174" s="51"/>
      <c r="AQ174" s="51"/>
      <c r="AR174" s="51"/>
      <c r="AS174" s="51"/>
      <c r="AT174" s="51"/>
      <c r="AU174" s="51"/>
      <c r="AV174" s="51"/>
      <c r="AW174" s="51"/>
      <c r="AX174" s="51"/>
      <c r="AY174" s="51"/>
      <c r="AZ174" s="51"/>
      <c r="BA174" s="51"/>
      <c r="BB174" s="51"/>
      <c r="BC174" s="54"/>
      <c r="BD174" s="54"/>
    </row>
    <row r="175" spans="1:56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4"/>
      <c r="BD175" s="54"/>
    </row>
    <row r="176" spans="1:56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  <c r="AH176" s="51"/>
      <c r="AI176" s="51"/>
      <c r="AJ176" s="51"/>
      <c r="AK176" s="51"/>
      <c r="AL176" s="51"/>
      <c r="AM176" s="51"/>
      <c r="AN176" s="51"/>
      <c r="AO176" s="51"/>
      <c r="AP176" s="51"/>
      <c r="AQ176" s="51"/>
      <c r="AR176" s="51"/>
      <c r="AS176" s="51"/>
      <c r="AT176" s="51"/>
      <c r="AU176" s="51"/>
      <c r="AV176" s="51"/>
      <c r="AW176" s="51"/>
      <c r="AX176" s="51"/>
      <c r="AY176" s="51"/>
      <c r="AZ176" s="51"/>
      <c r="BA176" s="51"/>
      <c r="BB176" s="51"/>
      <c r="BC176" s="54"/>
      <c r="BD176" s="54"/>
    </row>
    <row r="177" spans="1:56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1"/>
      <c r="AF177" s="51"/>
      <c r="AG177" s="51"/>
      <c r="AH177" s="51"/>
      <c r="AI177" s="51"/>
      <c r="AJ177" s="51"/>
      <c r="AK177" s="51"/>
      <c r="AL177" s="51"/>
      <c r="AM177" s="51"/>
      <c r="AN177" s="51"/>
      <c r="AO177" s="51"/>
      <c r="AP177" s="51"/>
      <c r="AQ177" s="51"/>
      <c r="AR177" s="51"/>
      <c r="AS177" s="51"/>
      <c r="AT177" s="51"/>
      <c r="AU177" s="51"/>
      <c r="AV177" s="51"/>
      <c r="AW177" s="51"/>
      <c r="AX177" s="51"/>
      <c r="AY177" s="51"/>
      <c r="AZ177" s="51"/>
      <c r="BA177" s="51"/>
      <c r="BB177" s="51"/>
      <c r="BC177" s="54"/>
      <c r="BD177" s="54"/>
    </row>
    <row r="178" spans="1:56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1"/>
      <c r="AF178" s="51"/>
      <c r="AG178" s="51"/>
      <c r="AH178" s="51"/>
      <c r="AI178" s="51"/>
      <c r="AJ178" s="51"/>
      <c r="AK178" s="51"/>
      <c r="AL178" s="51"/>
      <c r="AM178" s="51"/>
      <c r="AN178" s="51"/>
      <c r="AO178" s="51"/>
      <c r="AP178" s="51"/>
      <c r="AQ178" s="51"/>
      <c r="AR178" s="51"/>
      <c r="AS178" s="51"/>
      <c r="AT178" s="51"/>
      <c r="AU178" s="51"/>
      <c r="AV178" s="51"/>
      <c r="AW178" s="51"/>
      <c r="AX178" s="51"/>
      <c r="AY178" s="51"/>
      <c r="AZ178" s="51"/>
      <c r="BA178" s="51"/>
      <c r="BB178" s="51"/>
      <c r="BC178" s="54"/>
      <c r="BD178" s="54"/>
    </row>
    <row r="179" spans="1:56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1"/>
      <c r="BB179" s="51"/>
      <c r="BC179" s="54"/>
      <c r="BD179" s="54"/>
    </row>
    <row r="180" spans="1:56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  <c r="AJ180" s="51"/>
      <c r="AK180" s="51"/>
      <c r="AL180" s="51"/>
      <c r="AM180" s="51"/>
      <c r="AN180" s="51"/>
      <c r="AO180" s="51"/>
      <c r="AP180" s="51"/>
      <c r="AQ180" s="51"/>
      <c r="AR180" s="51"/>
      <c r="AS180" s="51"/>
      <c r="AT180" s="51"/>
      <c r="AU180" s="51"/>
      <c r="AV180" s="51"/>
      <c r="AW180" s="51"/>
      <c r="AX180" s="51"/>
      <c r="AY180" s="51"/>
      <c r="AZ180" s="51"/>
      <c r="BA180" s="51"/>
      <c r="BB180" s="51"/>
      <c r="BC180" s="54"/>
      <c r="BD180" s="54"/>
    </row>
    <row r="181" spans="1:56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  <c r="AH181" s="51"/>
      <c r="AI181" s="51"/>
      <c r="AJ181" s="51"/>
      <c r="AK181" s="51"/>
      <c r="AL181" s="51"/>
      <c r="AM181" s="51"/>
      <c r="AN181" s="51"/>
      <c r="AO181" s="51"/>
      <c r="AP181" s="51"/>
      <c r="AQ181" s="51"/>
      <c r="AR181" s="51"/>
      <c r="AS181" s="51"/>
      <c r="AT181" s="51"/>
      <c r="AU181" s="51"/>
      <c r="AV181" s="51"/>
      <c r="AW181" s="51"/>
      <c r="AX181" s="51"/>
      <c r="AY181" s="51"/>
      <c r="AZ181" s="51"/>
      <c r="BA181" s="51"/>
      <c r="BB181" s="51"/>
      <c r="BC181" s="54"/>
      <c r="BD181" s="54"/>
    </row>
    <row r="182" spans="1:56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51"/>
      <c r="AF182" s="51"/>
      <c r="AG182" s="51"/>
      <c r="AH182" s="51"/>
      <c r="AI182" s="51"/>
      <c r="AJ182" s="51"/>
      <c r="AK182" s="51"/>
      <c r="AL182" s="51"/>
      <c r="AM182" s="51"/>
      <c r="AN182" s="51"/>
      <c r="AO182" s="51"/>
      <c r="AP182" s="51"/>
      <c r="AQ182" s="51"/>
      <c r="AR182" s="51"/>
      <c r="AS182" s="51"/>
      <c r="AT182" s="51"/>
      <c r="AU182" s="51"/>
      <c r="AV182" s="51"/>
      <c r="AW182" s="51"/>
      <c r="AX182" s="51"/>
      <c r="AY182" s="51"/>
      <c r="AZ182" s="51"/>
      <c r="BA182" s="51"/>
      <c r="BB182" s="51"/>
      <c r="BC182" s="54"/>
      <c r="BD182" s="54"/>
    </row>
    <row r="183" spans="1:56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  <c r="AZ183" s="51"/>
      <c r="BA183" s="51"/>
      <c r="BB183" s="51"/>
      <c r="BC183" s="54"/>
      <c r="BD183" s="54"/>
    </row>
    <row r="184" spans="1:56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  <c r="AL184" s="51"/>
      <c r="AM184" s="51"/>
      <c r="AN184" s="51"/>
      <c r="AO184" s="51"/>
      <c r="AP184" s="51"/>
      <c r="AQ184" s="51"/>
      <c r="AR184" s="51"/>
      <c r="AS184" s="51"/>
      <c r="AT184" s="51"/>
      <c r="AU184" s="51"/>
      <c r="AV184" s="51"/>
      <c r="AW184" s="51"/>
      <c r="AX184" s="51"/>
      <c r="AY184" s="51"/>
      <c r="AZ184" s="51"/>
      <c r="BA184" s="51"/>
      <c r="BB184" s="51"/>
      <c r="BC184" s="54"/>
      <c r="BD184" s="54"/>
    </row>
    <row r="185" spans="1:56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/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51"/>
      <c r="AV185" s="51"/>
      <c r="AW185" s="51"/>
      <c r="AX185" s="51"/>
      <c r="AY185" s="51"/>
      <c r="AZ185" s="51"/>
      <c r="BA185" s="51"/>
      <c r="BB185" s="51"/>
      <c r="BC185" s="54"/>
      <c r="BD185" s="54"/>
    </row>
    <row r="186" spans="1:56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1"/>
      <c r="AF186" s="51"/>
      <c r="AG186" s="51"/>
      <c r="AH186" s="51"/>
      <c r="AI186" s="51"/>
      <c r="AJ186" s="51"/>
      <c r="AK186" s="51"/>
      <c r="AL186" s="51"/>
      <c r="AM186" s="51"/>
      <c r="AN186" s="51"/>
      <c r="AO186" s="51"/>
      <c r="AP186" s="51"/>
      <c r="AQ186" s="51"/>
      <c r="AR186" s="51"/>
      <c r="AS186" s="51"/>
      <c r="AT186" s="51"/>
      <c r="AU186" s="51"/>
      <c r="AV186" s="51"/>
      <c r="AW186" s="51"/>
      <c r="AX186" s="51"/>
      <c r="AY186" s="51"/>
      <c r="AZ186" s="51"/>
      <c r="BA186" s="51"/>
      <c r="BB186" s="51"/>
      <c r="BC186" s="54"/>
      <c r="BD186" s="54"/>
    </row>
    <row r="187" spans="1:56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  <c r="AH187" s="51"/>
      <c r="AI187" s="51"/>
      <c r="AJ187" s="51"/>
      <c r="AK187" s="51"/>
      <c r="AL187" s="51"/>
      <c r="AM187" s="51"/>
      <c r="AN187" s="51"/>
      <c r="AO187" s="51"/>
      <c r="AP187" s="51"/>
      <c r="AQ187" s="51"/>
      <c r="AR187" s="51"/>
      <c r="AS187" s="51"/>
      <c r="AT187" s="51"/>
      <c r="AU187" s="51"/>
      <c r="AV187" s="51"/>
      <c r="AW187" s="51"/>
      <c r="AX187" s="51"/>
      <c r="AY187" s="51"/>
      <c r="AZ187" s="51"/>
      <c r="BA187" s="51"/>
      <c r="BB187" s="51"/>
      <c r="BC187" s="54"/>
      <c r="BD187" s="54"/>
    </row>
    <row r="188" spans="1:56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  <c r="AK188" s="51"/>
      <c r="AL188" s="51"/>
      <c r="AM188" s="51"/>
      <c r="AN188" s="51"/>
      <c r="AO188" s="51"/>
      <c r="AP188" s="51"/>
      <c r="AQ188" s="51"/>
      <c r="AR188" s="51"/>
      <c r="AS188" s="51"/>
      <c r="AT188" s="51"/>
      <c r="AU188" s="51"/>
      <c r="AV188" s="51"/>
      <c r="AW188" s="51"/>
      <c r="AX188" s="51"/>
      <c r="AY188" s="51"/>
      <c r="AZ188" s="51"/>
      <c r="BA188" s="51"/>
      <c r="BB188" s="51"/>
      <c r="BC188" s="54"/>
      <c r="BD188" s="54"/>
    </row>
    <row r="189" spans="1:56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51"/>
      <c r="AI189" s="51"/>
      <c r="AJ189" s="51"/>
      <c r="AK189" s="51"/>
      <c r="AL189" s="51"/>
      <c r="AM189" s="51"/>
      <c r="AN189" s="51"/>
      <c r="AO189" s="51"/>
      <c r="AP189" s="51"/>
      <c r="AQ189" s="51"/>
      <c r="AR189" s="51"/>
      <c r="AS189" s="51"/>
      <c r="AT189" s="51"/>
      <c r="AU189" s="51"/>
      <c r="AV189" s="51"/>
      <c r="AW189" s="51"/>
      <c r="AX189" s="51"/>
      <c r="AY189" s="51"/>
      <c r="AZ189" s="51"/>
      <c r="BA189" s="51"/>
      <c r="BB189" s="51"/>
      <c r="BC189" s="54"/>
      <c r="BD189" s="54"/>
    </row>
    <row r="190" spans="1:56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1"/>
      <c r="AF190" s="51"/>
      <c r="AG190" s="51"/>
      <c r="AH190" s="51"/>
      <c r="AI190" s="51"/>
      <c r="AJ190" s="51"/>
      <c r="AK190" s="51"/>
      <c r="AL190" s="51"/>
      <c r="AM190" s="51"/>
      <c r="AN190" s="51"/>
      <c r="AO190" s="51"/>
      <c r="AP190" s="51"/>
      <c r="AQ190" s="51"/>
      <c r="AR190" s="51"/>
      <c r="AS190" s="51"/>
      <c r="AT190" s="51"/>
      <c r="AU190" s="51"/>
      <c r="AV190" s="51"/>
      <c r="AW190" s="51"/>
      <c r="AX190" s="51"/>
      <c r="AY190" s="51"/>
      <c r="AZ190" s="51"/>
      <c r="BA190" s="51"/>
      <c r="BB190" s="51"/>
      <c r="BC190" s="54"/>
      <c r="BD190" s="54"/>
    </row>
    <row r="191" spans="1:56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  <c r="AH191" s="51"/>
      <c r="AI191" s="51"/>
      <c r="AJ191" s="51"/>
      <c r="AK191" s="51"/>
      <c r="AL191" s="51"/>
      <c r="AM191" s="51"/>
      <c r="AN191" s="51"/>
      <c r="AO191" s="51"/>
      <c r="AP191" s="51"/>
      <c r="AQ191" s="51"/>
      <c r="AR191" s="51"/>
      <c r="AS191" s="51"/>
      <c r="AT191" s="51"/>
      <c r="AU191" s="51"/>
      <c r="AV191" s="51"/>
      <c r="AW191" s="51"/>
      <c r="AX191" s="51"/>
      <c r="AY191" s="51"/>
      <c r="AZ191" s="51"/>
      <c r="BA191" s="51"/>
      <c r="BB191" s="51"/>
    </row>
  </sheetData>
  <mergeCells count="49">
    <mergeCell ref="AQ11:AR11"/>
    <mergeCell ref="BA11:BB11"/>
    <mergeCell ref="C98:D98"/>
    <mergeCell ref="C11:D11"/>
    <mergeCell ref="C80:C81"/>
    <mergeCell ref="D80:D81"/>
    <mergeCell ref="Q80:Q81"/>
    <mergeCell ref="M80:M81"/>
    <mergeCell ref="N80:N81"/>
    <mergeCell ref="K79:N79"/>
    <mergeCell ref="Q79:AR79"/>
    <mergeCell ref="Q11:R11"/>
    <mergeCell ref="E77:L77"/>
    <mergeCell ref="L80:L81"/>
    <mergeCell ref="AG11:AH11"/>
    <mergeCell ref="AK11:AL11"/>
    <mergeCell ref="AW11:AX11"/>
    <mergeCell ref="AU11:AV11"/>
    <mergeCell ref="AY11:AZ11"/>
    <mergeCell ref="BC11:BC12"/>
    <mergeCell ref="AS11:AT11"/>
    <mergeCell ref="R80:R81"/>
    <mergeCell ref="AJ35:AP36"/>
    <mergeCell ref="U11:V11"/>
    <mergeCell ref="W11:X11"/>
    <mergeCell ref="AA11:AB11"/>
    <mergeCell ref="Y11:Z11"/>
    <mergeCell ref="S11:T11"/>
    <mergeCell ref="AI11:AJ11"/>
    <mergeCell ref="AC11:AD11"/>
    <mergeCell ref="AE11:AF11"/>
    <mergeCell ref="AO11:AP11"/>
    <mergeCell ref="AM11:AN11"/>
    <mergeCell ref="F134:L135"/>
    <mergeCell ref="G11:H11"/>
    <mergeCell ref="O11:P11"/>
    <mergeCell ref="I11:J11"/>
    <mergeCell ref="M11:N11"/>
    <mergeCell ref="K11:L11"/>
    <mergeCell ref="E11:F11"/>
    <mergeCell ref="G79:J79"/>
    <mergeCell ref="G80:G81"/>
    <mergeCell ref="H80:H81"/>
    <mergeCell ref="I80:I81"/>
    <mergeCell ref="J80:J81"/>
    <mergeCell ref="E80:E81"/>
    <mergeCell ref="F80:F81"/>
    <mergeCell ref="K80:K81"/>
    <mergeCell ref="C79:F79"/>
  </mergeCells>
  <phoneticPr fontId="0" type="noConversion"/>
  <printOptions horizontalCentered="1"/>
  <pageMargins left="0.19685039370078741" right="0.75" top="1.26" bottom="1" header="0" footer="0"/>
  <pageSetup paperSize="9" scale="24" orientation="landscape" horizontalDpi="4294967293" verticalDpi="300" r:id="rId1"/>
  <headerFooter alignWithMargins="0"/>
  <rowBreaks count="2" manualBreakCount="2">
    <brk id="75" max="49" man="1"/>
    <brk id="116" max="50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Q49"/>
  <sheetViews>
    <sheetView tabSelected="1" zoomScale="75" zoomScaleNormal="100" workbookViewId="0">
      <pane xSplit="2" ySplit="3" topLeftCell="C4" activePane="bottomRight" state="frozen"/>
      <selection pane="bottomRight" activeCell="A19" sqref="A19"/>
      <selection pane="bottomLeft" activeCell="I66" sqref="I66"/>
      <selection pane="topRight" activeCell="I66" sqref="I66"/>
    </sheetView>
  </sheetViews>
  <sheetFormatPr defaultColWidth="9.140625" defaultRowHeight="12.75"/>
  <cols>
    <col min="1" max="1" width="3.85546875" customWidth="1"/>
    <col min="2" max="2" width="20.7109375" customWidth="1"/>
    <col min="3" max="4" width="13.85546875" bestFit="1" customWidth="1"/>
    <col min="5" max="6" width="13.42578125" bestFit="1" customWidth="1"/>
    <col min="7" max="7" width="12.140625" bestFit="1" customWidth="1"/>
    <col min="8" max="8" width="13.42578125" bestFit="1" customWidth="1"/>
    <col min="9" max="9" width="13.85546875" bestFit="1" customWidth="1"/>
    <col min="10" max="11" width="13.42578125" bestFit="1" customWidth="1"/>
    <col min="12" max="12" width="13.85546875" bestFit="1" customWidth="1"/>
    <col min="13" max="13" width="13.42578125" bestFit="1" customWidth="1"/>
    <col min="14" max="14" width="13.85546875" bestFit="1" customWidth="1"/>
    <col min="15" max="15" width="15.5703125" bestFit="1" customWidth="1"/>
    <col min="16" max="16" width="11.42578125" customWidth="1"/>
    <col min="17" max="17" width="12.7109375" bestFit="1" customWidth="1"/>
    <col min="18" max="256" width="11.42578125" customWidth="1"/>
  </cols>
  <sheetData>
    <row r="2" spans="2:17">
      <c r="C2" s="325" t="s">
        <v>91</v>
      </c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</row>
    <row r="3" spans="2:17">
      <c r="B3" s="43" t="s">
        <v>92</v>
      </c>
      <c r="C3" s="43" t="s">
        <v>93</v>
      </c>
      <c r="D3" s="43" t="s">
        <v>94</v>
      </c>
      <c r="E3" s="43" t="s">
        <v>95</v>
      </c>
      <c r="F3" s="43" t="s">
        <v>96</v>
      </c>
      <c r="G3" s="43" t="s">
        <v>97</v>
      </c>
      <c r="H3" s="43" t="s">
        <v>98</v>
      </c>
      <c r="I3" s="43" t="s">
        <v>99</v>
      </c>
      <c r="J3" s="43" t="s">
        <v>100</v>
      </c>
      <c r="K3" s="43" t="s">
        <v>101</v>
      </c>
      <c r="L3" s="43" t="s">
        <v>102</v>
      </c>
      <c r="M3" s="43" t="s">
        <v>103</v>
      </c>
      <c r="N3" s="43" t="s">
        <v>104</v>
      </c>
      <c r="O3" s="43"/>
    </row>
    <row r="5" spans="2:17">
      <c r="B5" s="36" t="s">
        <v>105</v>
      </c>
      <c r="C5" s="2">
        <f ca="1">SUMIF(ENE!$D$11:$G$43,B5:B31,ENE!$F$11:$G$43)</f>
        <v>0</v>
      </c>
      <c r="D5" s="2">
        <f ca="1">SUMIF(FEB!$C$11:$F$47,'Mov X buque'!B5,FEB!$E$11:$F$47)</f>
        <v>0</v>
      </c>
      <c r="E5" s="2">
        <f ca="1">SUMIF(MAR!$C$11:$F$44,'Mov X buque'!B5,MAR!$E$11:$F$44)</f>
        <v>0</v>
      </c>
      <c r="F5" s="2">
        <f ca="1">SUMIF(ABR!$C$11:$F$48,'Mov X buque'!B5,ABR!$E$11:$F$48)</f>
        <v>0</v>
      </c>
      <c r="G5" s="2">
        <f ca="1">SUMIF(MAY!$C$11:$F$51,'Mov X buque'!B5,MAY!$E$11:$F$51)</f>
        <v>0</v>
      </c>
      <c r="H5" s="2">
        <f ca="1">SUMIF(JUN!$C$11:$F$41,'Mov X buque'!B5,JUN!$E$11:$F$41)</f>
        <v>0</v>
      </c>
      <c r="I5" s="2">
        <f ca="1">SUMIF(JUL!$C$10:$F$44,'Mov X buque'!B5,JUL!$E$10:$F$44)</f>
        <v>0</v>
      </c>
      <c r="J5" s="2">
        <f ca="1">SUMIF(AGO!$C$6:$F$51,'Mov X buque'!B5,AGO!$E$6:$F$51)</f>
        <v>0</v>
      </c>
      <c r="K5" s="2">
        <f ca="1">SUMIF(SEP!$C$11:$F$76,B5,SEP!$E$11:$F$76)</f>
        <v>0</v>
      </c>
      <c r="L5" s="2">
        <f ca="1">SUMIF(OCT!$C$10:$F$45,B5,OCT!$E$10:$F$45)</f>
        <v>0</v>
      </c>
      <c r="M5" s="2">
        <f ca="1">SUMIF(NOV!$D$9:$G$39,B5,NOV!$F$9:$G$39)</f>
        <v>0</v>
      </c>
      <c r="N5" s="2">
        <v>0</v>
      </c>
      <c r="O5" s="4">
        <f ca="1">SUM(C5:N5)</f>
        <v>0</v>
      </c>
    </row>
    <row r="6" spans="2:17">
      <c r="B6" s="46" t="s">
        <v>106</v>
      </c>
      <c r="C6" s="2">
        <f ca="1">SUMIF(ENE!$D$11:$G$43,B6:B32,ENE!$F$11:$G$43)</f>
        <v>0</v>
      </c>
      <c r="D6" s="2">
        <f ca="1">SUMIF(FEB!$C$11:$F$47,'Mov X buque'!B6,FEB!$E$11:$F$47)</f>
        <v>0</v>
      </c>
      <c r="E6" s="2">
        <f ca="1">SUMIF(MAR!$C$11:$F$44,'Mov X buque'!B6,MAR!$E$11:$F$44)</f>
        <v>0</v>
      </c>
      <c r="F6" s="2">
        <f ca="1">SUMIF(ABR!$C$11:$F$48,'Mov X buque'!B6,ABR!$E$11:$F$48)</f>
        <v>0</v>
      </c>
      <c r="G6" s="2">
        <f ca="1">SUMIF(MAY!$C$11:$F$51,'Mov X buque'!B6,MAY!$E$11:$F$51)</f>
        <v>0</v>
      </c>
      <c r="H6" s="2">
        <f ca="1">SUMIF(JUN!$C$11:$F$41,'Mov X buque'!B6,JUN!$E$11:$F$41)</f>
        <v>0</v>
      </c>
      <c r="I6" s="2">
        <f ca="1">SUMIF(JUL!$C$10:$F$44,'Mov X buque'!B6,JUL!$E$10:$F$44)</f>
        <v>0</v>
      </c>
      <c r="J6" s="2">
        <f ca="1">SUMIF(AGO!$C$6:$F$51,'Mov X buque'!B6,AGO!$E$6:$F$51)</f>
        <v>0</v>
      </c>
      <c r="K6" s="2">
        <v>0</v>
      </c>
      <c r="L6" s="2">
        <f ca="1">SUMIF(OCT!$C$10:$F$45,B6,OCT!$E$10:$F$45)</f>
        <v>0</v>
      </c>
      <c r="M6" s="2">
        <f ca="1">SUMIF(NOV!$D$9:$G$39,B6,NOV!$F$9:$G$39)</f>
        <v>0</v>
      </c>
      <c r="N6" s="2">
        <f ca="1">SUMIF(DIC!$C$9:$F$51,B6:B32,DIC!$E$9:$F$51)</f>
        <v>0</v>
      </c>
      <c r="O6" s="4">
        <f t="shared" ref="O6:O29" ca="1" si="0">SUM(C6:N6)</f>
        <v>0</v>
      </c>
    </row>
    <row r="7" spans="2:17">
      <c r="B7" s="46" t="s">
        <v>107</v>
      </c>
      <c r="C7" s="2">
        <f ca="1">SUMIF(ENE!$D$11:$G$43,B7:B33,ENE!$F$11:$G$43)</f>
        <v>0</v>
      </c>
      <c r="D7" s="2">
        <f ca="1">SUMIF(FEB!$C$11:$F$47,'Mov X buque'!B7,FEB!$E$11:$F$47)</f>
        <v>0</v>
      </c>
      <c r="E7" s="2">
        <f ca="1">SUMIF(MAR!$C$11:$F$44,'Mov X buque'!B7,MAR!$E$11:$F$44)</f>
        <v>0</v>
      </c>
      <c r="F7" s="2">
        <f ca="1">SUMIF(ABR!$C$11:$F$48,'Mov X buque'!B7,ABR!$E$11:$F$48)</f>
        <v>25590</v>
      </c>
      <c r="G7" s="2">
        <f ca="1">SUMIF(MAY!$C$11:$F$51,'Mov X buque'!B7,MAY!$E$11:$F$51)</f>
        <v>0</v>
      </c>
      <c r="H7" s="2">
        <f ca="1">SUMIF(JUN!$C$11:$F$41,'Mov X buque'!B7,JUN!$E$11:$F$41)</f>
        <v>0</v>
      </c>
      <c r="I7" s="2">
        <f ca="1">SUMIF(JUL!$C$10:$F$44,'Mov X buque'!B7,JUL!$E$10:$F$44)</f>
        <v>0</v>
      </c>
      <c r="J7" s="2">
        <f ca="1">SUMIF(AGO!$C$6:$F$51,'Mov X buque'!B7,AGO!$E$6:$F$51)</f>
        <v>0</v>
      </c>
      <c r="K7" s="2">
        <f ca="1">SUMIF(SEP!$C$11:$F$76,B7,SEP!$E$11:$F$76)</f>
        <v>39360</v>
      </c>
      <c r="L7" s="2">
        <f ca="1">SUMIF(OCT!$C$10:$F$45,B7,OCT!$E$10:$F$45)</f>
        <v>0</v>
      </c>
      <c r="M7" s="2">
        <f ca="1">SUMIF(NOV!$D$9:$G$39,B7,NOV!$F$9:$G$39)</f>
        <v>0</v>
      </c>
      <c r="N7" s="2">
        <f ca="1">SUMIF(DIC!$C$9:$F$51,B7:B33,DIC!$E$9:$F$51)</f>
        <v>0</v>
      </c>
      <c r="O7" s="4">
        <f t="shared" ca="1" si="0"/>
        <v>64950</v>
      </c>
    </row>
    <row r="8" spans="2:17">
      <c r="B8" s="40" t="s">
        <v>108</v>
      </c>
      <c r="C8" s="2">
        <f ca="1">SUMIF(ENE!$D$11:$G$43,B8:B33,ENE!$F$11:$G$43)</f>
        <v>0</v>
      </c>
      <c r="D8" s="2">
        <f ca="1">SUMIF(FEB!$C$11:$F$47,'Mov X buque'!B8,FEB!$E$11:$F$47)</f>
        <v>0</v>
      </c>
      <c r="E8" s="2">
        <f ca="1">SUMIF(MAR!$C$11:$F$44,'Mov X buque'!B8,MAR!$E$11:$F$44)</f>
        <v>76920</v>
      </c>
      <c r="F8" s="2">
        <f ca="1">SUMIF(ABR!$C$11:$F$48,'Mov X buque'!B8,ABR!$E$11:$F$48)</f>
        <v>23550</v>
      </c>
      <c r="G8" s="2">
        <f ca="1">SUMIF(MAY!$C$11:$F$51,'Mov X buque'!B8,MAY!$E$11:$F$51)</f>
        <v>0</v>
      </c>
      <c r="H8" s="2">
        <f ca="1">SUMIF(JUN!$C$11:$F$41,'Mov X buque'!B8,JUN!$E$11:$F$41)</f>
        <v>0</v>
      </c>
      <c r="I8" s="2">
        <f ca="1">SUMIF(JUL!$C$10:$F$44,'Mov X buque'!B8,JUL!$E$10:$F$44)</f>
        <v>0</v>
      </c>
      <c r="J8" s="2">
        <f ca="1">SUMIF(AGO!$C$6:$F$51,'Mov X buque'!B8,AGO!$E$6:$F$51)</f>
        <v>62550</v>
      </c>
      <c r="K8" s="2">
        <f ca="1">SUMIF(SEP!$C$11:$F$76,B8,SEP!$E$11:$F$76)</f>
        <v>49230</v>
      </c>
      <c r="L8" s="2">
        <f ca="1">SUMIF(OCT!$C$10:$F$45,B8,OCT!$E$10:$F$45)</f>
        <v>157530</v>
      </c>
      <c r="M8" s="2">
        <f ca="1">SUMIF(NOV!$D$9:$G$39,B8,NOV!$F$9:$G$39)</f>
        <v>198630</v>
      </c>
      <c r="N8" s="2">
        <f ca="1">SUMIF(DIC!$C$9:$F$51,B8:B34,DIC!$E$9:$F$51)</f>
        <v>231600</v>
      </c>
      <c r="O8" s="4">
        <f t="shared" ca="1" si="0"/>
        <v>800010</v>
      </c>
    </row>
    <row r="9" spans="2:17">
      <c r="B9" s="40" t="s">
        <v>109</v>
      </c>
      <c r="C9" s="2">
        <f ca="1">SUMIF(ENE!$D$11:$G$43,B9:B34,ENE!$F$11:$G$43)</f>
        <v>0</v>
      </c>
      <c r="D9" s="2">
        <f ca="1">SUMIF(FEB!$C$11:$F$47,'Mov X buque'!B9,FEB!$E$11:$F$47)</f>
        <v>0</v>
      </c>
      <c r="E9" s="2">
        <f ca="1">SUMIF(MAR!$C$11:$F$44,'Mov X buque'!B9,MAR!$E$11:$F$44)</f>
        <v>0</v>
      </c>
      <c r="F9" s="2">
        <f ca="1">SUMIF(ABR!$C$11:$F$48,'Mov X buque'!B9,ABR!$E$11:$F$48)</f>
        <v>0</v>
      </c>
      <c r="G9" s="2">
        <f ca="1">SUMIF(MAY!$C$11:$F$51,'Mov X buque'!B9,MAY!$E$11:$F$51)</f>
        <v>0</v>
      </c>
      <c r="H9" s="2">
        <f ca="1">SUMIF(JUN!$C$11:$F$41,'Mov X buque'!B9,JUN!$E$11:$F$41)</f>
        <v>0</v>
      </c>
      <c r="I9" s="2">
        <f ca="1">SUMIF(JUL!$C$10:$F$44,'Mov X buque'!B9,JUL!$E$10:$F$44)</f>
        <v>0</v>
      </c>
      <c r="J9" s="2">
        <f ca="1">SUMIF(AGO!$C$6:$F$51,'Mov X buque'!B9,AGO!$E$6:$F$51)</f>
        <v>0</v>
      </c>
      <c r="K9" s="2">
        <f ca="1">SUMIF(SEP!$C$11:$F$76,B9,SEP!$E$11:$F$76)</f>
        <v>0</v>
      </c>
      <c r="L9" s="2">
        <f ca="1">SUMIF(OCT!$C$10:$F$45,B9,OCT!$E$10:$F$45)</f>
        <v>0</v>
      </c>
      <c r="M9" s="2">
        <f ca="1">SUMIF(NOV!$D$9:$G$39,B9,NOV!$F$9:$G$39)</f>
        <v>0</v>
      </c>
      <c r="N9" s="2">
        <f ca="1">SUMIF(DIC!$C$9:$F$51,B9:B35,DIC!$E$9:$F$51)</f>
        <v>0</v>
      </c>
      <c r="O9" s="4">
        <f t="shared" ca="1" si="0"/>
        <v>0</v>
      </c>
    </row>
    <row r="10" spans="2:17">
      <c r="B10" s="40" t="s">
        <v>110</v>
      </c>
      <c r="C10" s="2">
        <f ca="1">SUMIF(ENE!$D$11:$G$43,B10:B35,ENE!$F$11:$G$43)</f>
        <v>0</v>
      </c>
      <c r="D10" s="2">
        <f ca="1">SUMIF(FEB!$C$11:$F$47,'Mov X buque'!B10,FEB!$E$11:$F$47)</f>
        <v>0</v>
      </c>
      <c r="E10" s="2">
        <f ca="1">SUMIF(MAR!$C$11:$F$44,'Mov X buque'!B10,MAR!$E$11:$F$44)</f>
        <v>0</v>
      </c>
      <c r="F10" s="2">
        <f ca="1">SUMIF(ABR!$C$11:$F$48,'Mov X buque'!B10,ABR!$E$11:$F$48)</f>
        <v>0</v>
      </c>
      <c r="G10" s="2">
        <f ca="1">SUMIF(MAY!$C$11:$F$51,'Mov X buque'!B10,MAY!$E$11:$F$51)</f>
        <v>0</v>
      </c>
      <c r="H10" s="2">
        <f ca="1">SUMIF(JUN!$C$11:$F$41,'Mov X buque'!B10,JUN!$E$11:$F$41)</f>
        <v>0</v>
      </c>
      <c r="I10" s="2">
        <f ca="1">SUMIF(JUL!$C$10:$F$44,'Mov X buque'!B10,JUL!$E$10:$F$44)</f>
        <v>0</v>
      </c>
      <c r="J10" s="2">
        <f ca="1">SUMIF(AGO!$C$6:$F$51,'Mov X buque'!B10,AGO!$E$6:$F$51)</f>
        <v>0</v>
      </c>
      <c r="K10" s="2">
        <f ca="1">SUMIF(SEP!$C$11:$F$76,B10,SEP!$E$11:$F$76)</f>
        <v>0</v>
      </c>
      <c r="L10" s="2">
        <f ca="1">SUMIF(OCT!$C$10:$F$45,B10,OCT!$E$10:$F$45)</f>
        <v>0</v>
      </c>
      <c r="M10" s="2">
        <f ca="1">SUMIF(NOV!$D$9:$G$39,B10,NOV!$F$9:$G$39)</f>
        <v>0</v>
      </c>
      <c r="N10" s="2">
        <f ca="1">SUMIF(DIC!$C$9:$F$51,B10:B36,DIC!$E$9:$F$51)</f>
        <v>0</v>
      </c>
      <c r="O10" s="4">
        <f t="shared" ca="1" si="0"/>
        <v>0</v>
      </c>
    </row>
    <row r="11" spans="2:17">
      <c r="B11" s="40" t="s">
        <v>111</v>
      </c>
      <c r="C11" s="2">
        <f ca="1">SUMIF(ENE!$D$11:$G$43,B11:B36,ENE!$F$11:$G$43)</f>
        <v>0</v>
      </c>
      <c r="D11" s="2">
        <f ca="1">SUMIF(FEB!$C$11:$F$47,'Mov X buque'!B11,FEB!$E$11:$F$47)</f>
        <v>0</v>
      </c>
      <c r="E11" s="2">
        <f ca="1">SUMIF(MAR!$C$11:$F$44,'Mov X buque'!B11,MAR!$E$11:$F$44)</f>
        <v>0</v>
      </c>
      <c r="F11" s="2">
        <f ca="1">SUMIF(ABR!$C$11:$F$48,'Mov X buque'!B11,ABR!$E$11:$F$48)</f>
        <v>25200</v>
      </c>
      <c r="G11" s="2">
        <f ca="1">SUMIF(MAY!$C$11:$F$51,'Mov X buque'!B11,MAY!$E$11:$F$51)</f>
        <v>0</v>
      </c>
      <c r="H11" s="2">
        <f ca="1">SUMIF(JUN!$C$11:$F$41,'Mov X buque'!B11,JUN!$E$11:$F$41)</f>
        <v>0</v>
      </c>
      <c r="I11" s="2">
        <f ca="1">SUMIF(JUL!$C$10:$F$44,'Mov X buque'!B11,JUL!$E$10:$F$44)</f>
        <v>0</v>
      </c>
      <c r="J11" s="2">
        <f ca="1">SUMIF(AGO!$C$6:$F$51,'Mov X buque'!B11,AGO!$E$6:$F$51)</f>
        <v>21510</v>
      </c>
      <c r="K11" s="2">
        <f ca="1">SUMIF(SEP!$C$11:$F$76,B11,SEP!$E$11:$F$76)</f>
        <v>54000</v>
      </c>
      <c r="L11" s="2">
        <f ca="1">SUMIF(OCT!$C$10:$F$45,B11,OCT!$E$10:$F$45)</f>
        <v>60990</v>
      </c>
      <c r="M11" s="2">
        <f ca="1">SUMIF(NOV!$D$9:$G$39,B11,NOV!$F$9:$G$39)</f>
        <v>306120</v>
      </c>
      <c r="N11" s="2">
        <f ca="1">SUMIF(DIC!$C$9:$F$51,B11:B37,DIC!$E$9:$F$51)</f>
        <v>183810</v>
      </c>
      <c r="O11" s="4">
        <f t="shared" ca="1" si="0"/>
        <v>651630</v>
      </c>
    </row>
    <row r="12" spans="2:17">
      <c r="B12" s="47" t="s">
        <v>112</v>
      </c>
      <c r="C12" s="2">
        <f ca="1">SUMIF(ENE!$D$11:$G$43,B12:B34,ENE!$F$11:$G$43)</f>
        <v>0</v>
      </c>
      <c r="D12" s="2">
        <f ca="1">SUMIF(FEB!$C$11:$F$47,'Mov X buque'!B12,FEB!$E$11:$F$47)</f>
        <v>0</v>
      </c>
      <c r="E12" s="2">
        <f ca="1">SUMIF(MAR!$C$11:$F$44,'Mov X buque'!B12,MAR!$E$11:$F$44)</f>
        <v>0</v>
      </c>
      <c r="F12" s="2">
        <f ca="1">SUMIF(ABR!$C$11:$F$48,'Mov X buque'!B12,ABR!$E$11:$F$48)</f>
        <v>0</v>
      </c>
      <c r="G12" s="2">
        <f ca="1">SUMIF(MAY!$C$11:$F$51,'Mov X buque'!B12,MAY!$E$11:$F$51)</f>
        <v>0</v>
      </c>
      <c r="H12" s="2">
        <f ca="1">SUMIF(JUN!$C$11:$F$41,'Mov X buque'!B12,JUN!$E$11:$F$41)</f>
        <v>0</v>
      </c>
      <c r="I12" s="2">
        <f ca="1">SUMIF(JUL!$C$10:$F$44,'Mov X buque'!B12,JUL!$E$10:$F$44)</f>
        <v>0</v>
      </c>
      <c r="J12" s="2">
        <f ca="1">SUMIF(AGO!$C$6:$F$51,'Mov X buque'!B12,AGO!$E$6:$F$51)</f>
        <v>0</v>
      </c>
      <c r="K12" s="2">
        <f ca="1">SUMIF(SEP!$C$11:$F$76,B12,SEP!$E$11:$F$76)</f>
        <v>0</v>
      </c>
      <c r="L12" s="2">
        <f ca="1">SUMIF(OCT!$C$10:$F$45,B12,OCT!$E$10:$F$45)</f>
        <v>0</v>
      </c>
      <c r="M12" s="2">
        <f ca="1">SUMIF(NOV!$D$9:$G$39,B12,NOV!$F$9:$G$39)</f>
        <v>0</v>
      </c>
      <c r="N12" s="8">
        <f ca="1">SUMIF(DIC!$C$9:$F$51,B12:B35,DIC!$E$9:$F$51)</f>
        <v>0</v>
      </c>
      <c r="O12" s="4">
        <f t="shared" ca="1" si="0"/>
        <v>0</v>
      </c>
    </row>
    <row r="13" spans="2:17">
      <c r="B13" t="s">
        <v>113</v>
      </c>
      <c r="C13" s="2">
        <f ca="1">SUMIF(ENE!$D$11:$G$43,B13:B35,ENE!$F$11:$G$43)</f>
        <v>0</v>
      </c>
      <c r="D13" s="2">
        <f ca="1">SUMIF(FEB!$C$11:$F$47,'Mov X buque'!B13,FEB!$E$11:$F$47)</f>
        <v>0</v>
      </c>
      <c r="E13" s="2">
        <f ca="1">SUMIF(MAR!$C$11:$F$44,'Mov X buque'!B13,MAR!$E$11:$F$44)</f>
        <v>0</v>
      </c>
      <c r="F13" s="2">
        <f ca="1">SUMIF(ABR!$C$11:$F$48,'Mov X buque'!B13,ABR!$E$11:$F$48)</f>
        <v>0</v>
      </c>
      <c r="G13" s="2">
        <f ca="1">SUMIF(MAY!$C$11:$F$51,'Mov X buque'!B13,MAY!$E$11:$F$51)</f>
        <v>0</v>
      </c>
      <c r="H13" s="2">
        <f ca="1">SUMIF(JUN!$C$11:$F$41,'Mov X buque'!B13,JUN!$E$11:$F$41)</f>
        <v>0</v>
      </c>
      <c r="I13" s="2">
        <f ca="1">SUMIF(JUL!$C$10:$F$44,'Mov X buque'!B13,JUL!$E$10:$F$44)</f>
        <v>0</v>
      </c>
      <c r="J13" s="2">
        <f ca="1">SUMIF(AGO!$C$6:$F$51,'Mov X buque'!B13,AGO!$E$6:$F$51)</f>
        <v>0</v>
      </c>
      <c r="K13" s="2">
        <f ca="1">SUMIF(SEP!$C$11:$F$76,B13,SEP!$E$11:$F$76)</f>
        <v>0</v>
      </c>
      <c r="L13" s="2">
        <f ca="1">SUMIF(OCT!$C$10:$F$45,B13,OCT!$E$10:$F$45)</f>
        <v>0</v>
      </c>
      <c r="M13" s="2">
        <f ca="1">SUMIF(NOV!$D$9:$G$39,B13,NOV!$F$9:$G$39)</f>
        <v>0</v>
      </c>
      <c r="N13" s="8">
        <f ca="1">SUMIF(DIC!$C$9:$F$51,B13:B36,DIC!$E$9:$F$51)</f>
        <v>0</v>
      </c>
      <c r="O13" s="4">
        <f ca="1">SUM(C13:N13)</f>
        <v>0</v>
      </c>
    </row>
    <row r="14" spans="2:17">
      <c r="B14" s="35" t="s">
        <v>114</v>
      </c>
      <c r="C14" s="2">
        <f ca="1">SUMIF(ENE!$D$11:$G$43,B14:B36,ENE!$F$11:$G$43)</f>
        <v>0</v>
      </c>
      <c r="D14" s="2">
        <f ca="1">SUMIF(FEB!$C$11:$F$47,'Mov X buque'!B14,FEB!$E$11:$F$47)</f>
        <v>0</v>
      </c>
      <c r="E14" s="2">
        <f ca="1">SUMIF(MAR!$C$11:$F$44,'Mov X buque'!B14,MAR!$E$11:$F$44)</f>
        <v>0</v>
      </c>
      <c r="F14" s="2">
        <f ca="1">SUMIF(ABR!$C$11:$F$48,'Mov X buque'!B14,ABR!$E$11:$F$48)</f>
        <v>0</v>
      </c>
      <c r="G14" s="2">
        <f ca="1">SUMIF(MAY!$C$11:$F$48,'Mov X buque'!B14,MAY!$E$11:$F$48)</f>
        <v>0</v>
      </c>
      <c r="H14" s="2">
        <f ca="1">SUMIF(JUN!$C$11:$F$41,'Mov X buque'!B14,JUN!$E$11:$F$41)</f>
        <v>0</v>
      </c>
      <c r="I14" s="2">
        <f ca="1">SUMIF(JUL!$C$10:$F$44,'Mov X buque'!B14,JUL!$E$10:$F$44)</f>
        <v>0</v>
      </c>
      <c r="J14" s="2">
        <f ca="1">SUMIF(AGO!$C$6:$F$51,'Mov X buque'!B14,AGO!$E$6:$F$51)</f>
        <v>0</v>
      </c>
      <c r="K14" s="2">
        <f ca="1">SUMIF(SEP!$C$11:$F$76,B14,SEP!$E$11:$F$76)</f>
        <v>0</v>
      </c>
      <c r="L14" s="2">
        <f ca="1">SUMIF(OCT!$C$10:$F$45,B14,OCT!$E$10:$F$45)</f>
        <v>0</v>
      </c>
      <c r="M14" s="2">
        <f ca="1">SUMIF(NOV!$D$9:$G$39,B14,NOV!$F$9:$G$39)</f>
        <v>0</v>
      </c>
      <c r="N14" s="2">
        <f ca="1">SUMIF(DIC!$C$9:$F$25,B14,DIC!$E$9:$F$23)</f>
        <v>0</v>
      </c>
      <c r="O14" s="4">
        <f t="shared" ca="1" si="0"/>
        <v>0</v>
      </c>
    </row>
    <row r="15" spans="2:17">
      <c r="B15" s="37" t="s">
        <v>115</v>
      </c>
      <c r="C15" s="2">
        <f ca="1">SUMIF(ENE!$D$11:$G$43,B15:B37,ENE!$F$11:$G$43)</f>
        <v>0</v>
      </c>
      <c r="D15" s="2">
        <f ca="1">SUMIF(FEB!$C$11:$F$47,'Mov X buque'!B15,FEB!$E$11:$F$47)</f>
        <v>0</v>
      </c>
      <c r="E15" s="2">
        <f ca="1">SUMIF(MAR!$C$11:$F$44,'Mov X buque'!B15,MAR!$E$11:$F$44)</f>
        <v>0</v>
      </c>
      <c r="F15" s="2">
        <f ca="1">SUMIF(ABR!$C$11:$F$48,'Mov X buque'!B15,ABR!$E$11:$F$48)</f>
        <v>0</v>
      </c>
      <c r="G15" s="2">
        <f ca="1">SUMIF(MAY!$C$11:$F$51,'Mov X buque'!B15,MAY!$E$11:$F$51)</f>
        <v>0</v>
      </c>
      <c r="H15" s="2">
        <f ca="1">SUMIF(JUN!$C$11:$F$41,'Mov X buque'!B15,JUN!$E$11:$F$41)</f>
        <v>0</v>
      </c>
      <c r="I15" s="2">
        <f ca="1">SUMIF(JUL!$C$10:$F$44,'Mov X buque'!B15,JUL!$E$10:$F$44)</f>
        <v>0</v>
      </c>
      <c r="J15" s="2">
        <f ca="1">SUMIF(AGO!$C$6:$F$51,'Mov X buque'!B15,AGO!$E$6:$F$51)</f>
        <v>0</v>
      </c>
      <c r="K15" s="2">
        <f ca="1">SUMIF(SEP!$C$11:$F$76,B15,SEP!$E$11:$F$76)</f>
        <v>0</v>
      </c>
      <c r="L15" s="2">
        <f ca="1">SUMIF(OCT!$C$10:$F$45,B15,OCT!$E$10:$F$45)</f>
        <v>0</v>
      </c>
      <c r="M15" s="2">
        <f ca="1">SUMIF(NOV!$D$9:$G$39,B15,NOV!$F$9:$G$39)</f>
        <v>0</v>
      </c>
      <c r="N15" s="2">
        <f ca="1">SUMIF(DIC!$C$9:$F$51,B15:B36,DIC!$E$9:$F$51)</f>
        <v>0</v>
      </c>
      <c r="O15" s="4">
        <f t="shared" ca="1" si="0"/>
        <v>0</v>
      </c>
    </row>
    <row r="16" spans="2:17">
      <c r="B16" s="263" t="s">
        <v>116</v>
      </c>
      <c r="C16" s="2">
        <f ca="1">SUMIF(ENE!$D$11:$G$43,B16:B38,ENE!$F$11:$G$43)</f>
        <v>0</v>
      </c>
      <c r="D16" s="2">
        <f ca="1">SUMIF(FEB!$C$11:$F$47,'Mov X buque'!B16,FEB!$E$11:$F$47)</f>
        <v>0</v>
      </c>
      <c r="E16" s="2">
        <f ca="1">SUMIF(MAR!$C$11:$F$44,'Mov X buque'!B16,MAR!$E$11:$F$44)</f>
        <v>0</v>
      </c>
      <c r="F16" s="2">
        <f ca="1">SUMIF(ABR!$C$11:$F$48,'Mov X buque'!B16,ABR!$E$11:$F$48)</f>
        <v>0</v>
      </c>
      <c r="G16" s="2">
        <f ca="1">SUMIF(MAY!$C$11:$F$51,'Mov X buque'!B16,MAY!$E$11:$F$51)</f>
        <v>0</v>
      </c>
      <c r="H16" s="2">
        <f ca="1">SUMIF(JUN!$C$11:$F$41,'Mov X buque'!B16,JUN!$E$11:$F$41)</f>
        <v>0</v>
      </c>
      <c r="I16" s="2">
        <f ca="1">SUMIF(JUL!$C$10:$F$44,'Mov X buque'!B16,JUL!$E$10:$F$44)</f>
        <v>0</v>
      </c>
      <c r="J16" s="2">
        <f ca="1">SUMIF(AGO!$C$6:$F$51,'Mov X buque'!B16,AGO!$E$6:$F$51)</f>
        <v>0</v>
      </c>
      <c r="K16" s="2">
        <f ca="1">SUMIF(SEP!$C$11:$F$76,B16,SEP!$E$11:$F$76)</f>
        <v>0</v>
      </c>
      <c r="L16" s="2">
        <f ca="1">SUMIF(OCT!$C$10:$F$45,B16,OCT!$E$10:$F$45)</f>
        <v>0</v>
      </c>
      <c r="M16" s="2">
        <f ca="1">SUMIF(NOV!$D$9:$G$39,B16,NOV!$F$9:$G$39)</f>
        <v>0</v>
      </c>
      <c r="N16" s="2">
        <f ca="1">SUMIF(DIC!$C$9:$F$51,B16:B55,DIC!$E$9:$F$51)</f>
        <v>0</v>
      </c>
      <c r="O16" s="4">
        <f t="shared" ca="1" si="0"/>
        <v>0</v>
      </c>
      <c r="Q16" s="2"/>
    </row>
    <row r="17" spans="2:17">
      <c r="B17" s="263" t="s">
        <v>117</v>
      </c>
      <c r="C17" s="2">
        <f ca="1">SUMIF(ENE!$D$11:$G$43,B17:B39,ENE!$F$11:$G$43)</f>
        <v>0</v>
      </c>
      <c r="D17" s="2">
        <f ca="1">SUMIF(FEB!$C$11:$F$47,'Mov X buque'!B17,FEB!$E$11:$F$47)</f>
        <v>0</v>
      </c>
      <c r="E17" s="2">
        <f ca="1">SUMIF(MAR!$C$11:$F$44,'Mov X buque'!B17,MAR!$E$11:$F$44)</f>
        <v>0</v>
      </c>
      <c r="F17" s="2">
        <f ca="1">SUMIF(ABR!$C$11:$F$48,'Mov X buque'!B17,ABR!$E$11:$F$48)</f>
        <v>0</v>
      </c>
      <c r="G17" s="2">
        <f ca="1">SUMIF(MAY!$C$11:$F$51,'Mov X buque'!B17,MAY!$E$11:$F$51)</f>
        <v>0</v>
      </c>
      <c r="H17" s="2">
        <f ca="1">SUMIF(JUN!$C$11:$F$41,'Mov X buque'!B17,JUN!$E$11:$F$41)</f>
        <v>0</v>
      </c>
      <c r="I17" s="2">
        <f ca="1">SUMIF(JUL!$C$10:$F$44,'Mov X buque'!B17,JUL!$E$10:$F$44)</f>
        <v>0</v>
      </c>
      <c r="J17" s="2">
        <f ca="1">SUMIF(AGO!$C$6:$F$51,'Mov X buque'!B17,AGO!$E$6:$F$51)</f>
        <v>0</v>
      </c>
      <c r="K17" s="2">
        <f ca="1">SUMIF(SEP!$C$11:$F$76,B17,SEP!$E$11:$F$76)</f>
        <v>0</v>
      </c>
      <c r="L17" s="2">
        <f ca="1">SUMIF(OCT!$C$10:$F$45,B17,OCT!$E$10:$F$45)</f>
        <v>0</v>
      </c>
      <c r="M17" s="2">
        <f ca="1">SUMIF(NOV!$D$9:$G$39,B17,NOV!$F$9:$G$39)</f>
        <v>0</v>
      </c>
      <c r="N17" s="2">
        <f ca="1">SUMIF(DIC!$C$9:$F$51,B17:B56,DIC!$E$9:$F$51)</f>
        <v>0</v>
      </c>
      <c r="O17" s="4">
        <f t="shared" ca="1" si="0"/>
        <v>0</v>
      </c>
      <c r="Q17" s="2"/>
    </row>
    <row r="18" spans="2:17">
      <c r="B18" s="6" t="s">
        <v>118</v>
      </c>
      <c r="C18" s="2">
        <f ca="1">SUMIF(ENE!$D$11:$G$43,B18:B39,ENE!$F$11:$G$43)</f>
        <v>0</v>
      </c>
      <c r="D18" s="2">
        <f ca="1">SUMIF(FEB!$C$11:$F$47,'Mov X buque'!B18,FEB!$E$11:$F$47)</f>
        <v>0</v>
      </c>
      <c r="E18" s="2">
        <f ca="1">SUMIF(MAR!$C$11:$F$44,'Mov X buque'!B18,MAR!$E$11:$F$44)</f>
        <v>0</v>
      </c>
      <c r="F18" s="2">
        <f ca="1">SUMIF(ABR!$C$11:$F$48,'Mov X buque'!B18,ABR!$E$11:$F$48)</f>
        <v>0</v>
      </c>
      <c r="G18" s="2">
        <f ca="1">SUMIF(MAY!$C$11:$F$51,'Mov X buque'!B18,MAY!$E$11:$F$51)</f>
        <v>0</v>
      </c>
      <c r="H18" s="2">
        <f ca="1">SUMIF(JUN!$C$11:$F$41,'Mov X buque'!B18,JUN!$E$11:$F$41)</f>
        <v>0</v>
      </c>
      <c r="I18" s="2">
        <f ca="1">SUMIF(JUL!$C$10:$F$44,'Mov X buque'!B18,JUL!$E$10:$F$44)</f>
        <v>0</v>
      </c>
      <c r="J18" s="2">
        <f ca="1">SUMIF(AGO!$C$6:$F$51,'Mov X buque'!B18,AGO!$E$6:$F$51)</f>
        <v>0</v>
      </c>
      <c r="K18" s="2">
        <f ca="1">SUMIF(SEP!$C$11:$F$76,B18,SEP!$E$11:$F$76)</f>
        <v>0</v>
      </c>
      <c r="L18" s="2">
        <f ca="1">SUMIF(OCT!$C$10:$F$45,B18,OCT!$E$10:$F$45)</f>
        <v>0</v>
      </c>
      <c r="M18" s="2">
        <f ca="1">SUMIF(NOV!$D$9:$G$39,B18,NOV!$F$9:$G$39)</f>
        <v>0</v>
      </c>
      <c r="N18" s="2">
        <f ca="1">SUMIF(DIC!$C$9:$F$51,B18:B38,DIC!$E$9:$F$51)</f>
        <v>0</v>
      </c>
      <c r="O18" s="4">
        <f t="shared" ca="1" si="0"/>
        <v>0</v>
      </c>
    </row>
    <row r="19" spans="2:17">
      <c r="B19" s="37" t="s">
        <v>119</v>
      </c>
      <c r="C19" s="2">
        <f ca="1">SUMIF(ENE!$D$11:$G$43,B19:B38,ENE!$F$11:$G$43)</f>
        <v>123390</v>
      </c>
      <c r="D19" s="2">
        <f ca="1">SUMIF(FEB!$C$11:$F$47,'Mov X buque'!B19,FEB!$E$11:$F$47)</f>
        <v>89760</v>
      </c>
      <c r="E19" s="2">
        <f ca="1">SUMIF(MAR!$C$11:$F$44,'Mov X buque'!B19,MAR!$E$11:$F$44)</f>
        <v>123990</v>
      </c>
      <c r="F19" s="2">
        <f ca="1">SUMIF(ABR!$C$11:$F$48,'Mov X buque'!B19,ABR!$E$11:$F$48)</f>
        <v>50880</v>
      </c>
      <c r="G19" s="2">
        <f ca="1">SUMIF(MAY!$C$11:$F$51,'Mov X buque'!B19,MAY!$E$11:$F$51)</f>
        <v>60900</v>
      </c>
      <c r="H19" s="2">
        <f ca="1">SUMIF(JUN!$C$11:$F$41,'Mov X buque'!B19,JUN!$E$11:$F$41)</f>
        <v>0</v>
      </c>
      <c r="I19" s="2">
        <f ca="1">SUMIF(JUL!$C$10:$F$44,'Mov X buque'!B19,JUL!$E$10:$F$44)</f>
        <v>0</v>
      </c>
      <c r="J19" s="2">
        <f ca="1">SUMIF(AGO!$C$6:$F$51,'Mov X buque'!B19,AGO!$E$6:$F$51)</f>
        <v>0</v>
      </c>
      <c r="K19" s="2">
        <f ca="1">SUMIF(SEP!$C$11:$F$76,B19,SEP!$E$11:$F$76)</f>
        <v>0</v>
      </c>
      <c r="L19" s="2">
        <f ca="1">SUMIF(OCT!$C$10:$F$45,B19,OCT!$E$10:$F$45)</f>
        <v>0</v>
      </c>
      <c r="M19" s="2">
        <f ca="1">SUMIF(NOV!$D$9:$G$39,B19,NOV!$F$9:$G$39)</f>
        <v>132360</v>
      </c>
      <c r="N19" s="2">
        <f ca="1">SUMIF(DIC!$C$9:$F$51,B19:B39,DIC!$E$9:$F$51)</f>
        <v>103200</v>
      </c>
      <c r="O19" s="4">
        <f ca="1">SUM(C19:N19)</f>
        <v>684480</v>
      </c>
    </row>
    <row r="20" spans="2:17">
      <c r="B20" t="s">
        <v>120</v>
      </c>
      <c r="C20" s="2">
        <f ca="1">SUMIF(ENE!$D$11:$G$43,B20:B42,ENE!$F$11:$G$43)</f>
        <v>0</v>
      </c>
      <c r="D20" s="2">
        <f ca="1">SUMIF(FEB!$C$11:$F$47,'Mov X buque'!B20,FEB!$E$11:$F$47)</f>
        <v>0</v>
      </c>
      <c r="E20" s="2">
        <f ca="1">SUMIF(MAR!$C$11:$F$44,'Mov X buque'!B20,MAR!$E$11:$F$44)</f>
        <v>0</v>
      </c>
      <c r="F20" s="2">
        <f ca="1">SUMIF(ABR!$C$11:$F$48,'Mov X buque'!B20,ABR!$E$11:$F$48)</f>
        <v>0</v>
      </c>
      <c r="G20" s="2">
        <f ca="1">SUMIF(MAY!$C$11:$F$51,'Mov X buque'!B20,MAY!$E$11:$F$51)</f>
        <v>0</v>
      </c>
      <c r="H20" s="2">
        <f ca="1">SUMIF(JUN!$C$11:$F$41,'Mov X buque'!B20,JUN!$E$11:$F$41)</f>
        <v>0</v>
      </c>
      <c r="I20" s="2">
        <f ca="1">SUMIF(JUL!$C$10:$F$44,'Mov X buque'!B20,JUL!$E$10:$F$44)</f>
        <v>0</v>
      </c>
      <c r="J20" s="2">
        <f ca="1">SUMIF(AGO!$C$6:$F$51,'Mov X buque'!B20,AGO!$E$6:$F$51)</f>
        <v>0</v>
      </c>
      <c r="K20" s="2">
        <f ca="1">SUMIF(SEP!$C$11:$F$76,B20,SEP!$E$11:$F$76)</f>
        <v>0</v>
      </c>
      <c r="L20" s="2">
        <f ca="1">SUMIF(OCT!$C$10:$F$45,B20,OCT!$E$10:$F$45)</f>
        <v>0</v>
      </c>
      <c r="M20" s="2">
        <f ca="1">SUMIF(NOV!$D$9:$G$39,B20,NOV!$F$9:$G$39)</f>
        <v>0</v>
      </c>
      <c r="N20" s="2">
        <f ca="1">SUMIF(DIC!$C$9:$F$51,B20:B49,DIC!$E$9:$F$51)</f>
        <v>0</v>
      </c>
      <c r="O20" s="4">
        <f t="shared" ca="1" si="0"/>
        <v>0</v>
      </c>
    </row>
    <row r="21" spans="2:17">
      <c r="B21" s="34" t="s">
        <v>121</v>
      </c>
      <c r="C21" s="2">
        <f ca="1">SUMIF(ENE!$D$11:$G$43,B21:B45,ENE!$F$11:$G$43)</f>
        <v>0</v>
      </c>
      <c r="D21" s="2">
        <f ca="1">SUMIF(FEB!$C$11:$F$47,'Mov X buque'!B21,FEB!$E$11:$F$47)</f>
        <v>0</v>
      </c>
      <c r="E21" s="2">
        <f ca="1">SUMIF(MAR!$C$11:$F$44,'Mov X buque'!B21,MAR!$E$11:$F$44)</f>
        <v>0</v>
      </c>
      <c r="F21" s="2">
        <f ca="1">SUMIF(ABR!$C$11:$F$48,'Mov X buque'!B21,ABR!$E$11:$F$48)</f>
        <v>0</v>
      </c>
      <c r="G21" s="2">
        <f ca="1">SUMIF(MAY!$C$11:$F$51,'Mov X buque'!B21,MAY!$E$11:$F$51)</f>
        <v>0</v>
      </c>
      <c r="H21" s="2">
        <f ca="1">SUMIF(JUN!$C$11:$F$41,'Mov X buque'!B21,JUN!$E$11:$F$41)</f>
        <v>0</v>
      </c>
      <c r="I21" s="2">
        <f ca="1">SUMIF(JUL!$C$10:$F$44,'Mov X buque'!B21,JUL!$E$10:$F$44)</f>
        <v>0</v>
      </c>
      <c r="J21" s="2">
        <f ca="1">SUMIF(AGO!$C$6:$F$51,'Mov X buque'!B21,AGO!$E$6:$F$51)</f>
        <v>0</v>
      </c>
      <c r="K21" s="2">
        <f ca="1">SUMIF(SEP!$C$11:$F$76,B21,SEP!$E$11:$F$76)</f>
        <v>0</v>
      </c>
      <c r="L21" s="2">
        <f ca="1">SUMIF(OCT!$C$10:$F$45,B21,OCT!$E$10:$F$45)</f>
        <v>0</v>
      </c>
      <c r="M21" s="2">
        <f ca="1">SUMIF(NOV!$D$9:$G$39,B21,NOV!$F$9:$G$39)</f>
        <v>0</v>
      </c>
      <c r="N21" s="2">
        <f ca="1">SUMIF(DIC!$C$9:$F$51,B21:B50,DIC!$E$9:$F$51)</f>
        <v>0</v>
      </c>
      <c r="O21" s="4">
        <f t="shared" ca="1" si="0"/>
        <v>0</v>
      </c>
    </row>
    <row r="22" spans="2:17">
      <c r="B22" s="270" t="s">
        <v>122</v>
      </c>
      <c r="C22" s="2">
        <f ca="1">SUMIF(ENE!$D$11:$G$43,B14:B37,ENE!$F$11:$G$43)</f>
        <v>0</v>
      </c>
      <c r="D22" s="2">
        <f ca="1">SUMIF(FEB!$C$11:$F$47,'Mov X buque'!B22,FEB!$E$11:$F$47)</f>
        <v>0</v>
      </c>
      <c r="E22" s="2">
        <f ca="1">SUMIF(MAR!$C$11:$F$44,'Mov X buque'!B22,MAR!$E$11:$F$44)</f>
        <v>0</v>
      </c>
      <c r="F22" s="2">
        <f ca="1">SUMIF(ABR!$C$11:$F$48,'Mov X buque'!B22,ABR!$E$11:$F$48)</f>
        <v>0</v>
      </c>
      <c r="G22" s="2">
        <f ca="1">SUMIF(MAY!$C$11:$F$51,'Mov X buque'!B22,MAY!$E$11:$F$51)</f>
        <v>0</v>
      </c>
      <c r="H22" s="2">
        <f ca="1">SUMIF(JUN!$C$11:$F$41,'Mov X buque'!B22,JUN!$E$11:$F$41)</f>
        <v>0</v>
      </c>
      <c r="I22" s="2">
        <f ca="1">SUMIF(JUL!$C$10:$F$44,'Mov X buque'!B22,JUL!$E$10:$F$44)</f>
        <v>0</v>
      </c>
      <c r="J22" s="2">
        <f ca="1">SUMIF(AGO!$C$6:$F$51,'Mov X buque'!B22,AGO!$E$6:$F$51)</f>
        <v>48330</v>
      </c>
      <c r="K22" s="2">
        <f ca="1">SUMIF(SEP!$C$11:$F$76,B22,SEP!$E$11:$F$76)</f>
        <v>0</v>
      </c>
      <c r="L22" s="2">
        <f ca="1">SUMIF(OCT!$C$10:$F$45,B22,OCT!$E$10:$F$45)</f>
        <v>0</v>
      </c>
      <c r="M22" s="2">
        <f ca="1">SUMIF(NOV!$D$9:$G$39,B22,NOV!$F$9:$G$39)</f>
        <v>138210</v>
      </c>
      <c r="N22" s="2">
        <f ca="1">SUMIF(DIC!$C$9:$F$51,B22:B51,DIC!$E$9:$F$51)</f>
        <v>16470</v>
      </c>
      <c r="O22" s="4">
        <f t="shared" ca="1" si="0"/>
        <v>203010</v>
      </c>
    </row>
    <row r="23" spans="2:17">
      <c r="B23" s="259" t="s">
        <v>123</v>
      </c>
      <c r="C23" s="2">
        <f ca="1">SUMIF(ENE!$D$11:$G$43,B15:B38,ENE!$F$11:$G$43)</f>
        <v>0</v>
      </c>
      <c r="D23" s="2">
        <f ca="1">SUMIF(FEB!$C$11:$F$47,'Mov X buque'!B23,FEB!$E$11:$F$47)</f>
        <v>0</v>
      </c>
      <c r="E23" s="2">
        <f ca="1">SUMIF(MAR!$C$11:$F$44,'Mov X buque'!B23,MAR!$E$11:$F$44)</f>
        <v>0</v>
      </c>
      <c r="F23" s="2">
        <f ca="1">SUMIF(ABR!$C$11:$F$48,'Mov X buque'!B23,ABR!$E$11:$F$48)</f>
        <v>0</v>
      </c>
      <c r="G23" s="2">
        <f ca="1">SUMIF(MAY!$C$11:$F$51,'Mov X buque'!B23,MAY!$E$11:$F$51)</f>
        <v>0</v>
      </c>
      <c r="H23" s="2">
        <f ca="1">SUMIF(JUN!$C$11:$F$41,'Mov X buque'!B23,JUN!$E$11:$F$41)</f>
        <v>0</v>
      </c>
      <c r="I23" s="2">
        <f ca="1">SUMIF(JUL!$C$10:$F$44,'Mov X buque'!B23,JUL!$E$10:$F$44)</f>
        <v>0</v>
      </c>
      <c r="J23" s="2">
        <f ca="1">SUMIF(AGO!$C$6:$F$51,'Mov X buque'!B23,AGO!$E$6:$F$51)</f>
        <v>0</v>
      </c>
      <c r="K23" s="2">
        <f ca="1">SUMIF(SEP!$C$11:$F$76,B23,SEP!$E$11:$F$76)</f>
        <v>0</v>
      </c>
      <c r="L23" s="2">
        <f ca="1">SUMIF(OCT!$C$10:$F$45,B23,OCT!$E$10:$F$45)</f>
        <v>0</v>
      </c>
      <c r="M23" s="2">
        <f ca="1">SUMIF(NOV!$D$9:$G$39,B23,NOV!$F$9:$G$39)</f>
        <v>0</v>
      </c>
      <c r="N23" s="2">
        <f ca="1">SUMIF(DIC!$C$9:$F$51,B23:B60,DIC!$E$9:$F$51)</f>
        <v>0</v>
      </c>
      <c r="O23" s="4">
        <f t="shared" ca="1" si="0"/>
        <v>0</v>
      </c>
    </row>
    <row r="24" spans="2:17">
      <c r="B24" s="259" t="s">
        <v>124</v>
      </c>
      <c r="C24" s="2">
        <f ca="1">SUMIF(ENE!$D$11:$G$43,B16:B39,ENE!$F$11:$G$43)</f>
        <v>0</v>
      </c>
      <c r="D24" s="2">
        <f ca="1">SUMIF(FEB!$C$11:$F$47,'Mov X buque'!B24,FEB!$E$11:$F$47)</f>
        <v>0</v>
      </c>
      <c r="E24" s="2">
        <f ca="1">SUMIF(MAR!$C$11:$F$44,'Mov X buque'!B24,MAR!$E$11:$F$44)</f>
        <v>0</v>
      </c>
      <c r="F24" s="2">
        <f ca="1">SUMIF(ABR!$C$11:$F$48,'Mov X buque'!B24,ABR!$E$11:$F$48)</f>
        <v>35280</v>
      </c>
      <c r="G24" s="2">
        <f ca="1">SUMIF(MAY!$C$11:$F$51,'Mov X buque'!B24,MAY!$E$11:$F$51)</f>
        <v>0</v>
      </c>
      <c r="H24" s="2">
        <f ca="1">SUMIF(JUN!$C$11:$F$41,'Mov X buque'!B24,JUN!$E$11:$F$41)</f>
        <v>0</v>
      </c>
      <c r="I24" s="2">
        <f ca="1">SUMIF(JUL!$C$10:$F$44,'Mov X buque'!B24,JUL!$E$10:$F$44)</f>
        <v>0</v>
      </c>
      <c r="J24" s="2">
        <f ca="1">SUMIF(AGO!$C$6:$F$51,'Mov X buque'!B24,AGO!$E$6:$F$51)</f>
        <v>0</v>
      </c>
      <c r="K24" s="2">
        <f ca="1">SUMIF(SEP!$C$11:$F$76,B24,SEP!$E$11:$F$76)</f>
        <v>0</v>
      </c>
      <c r="L24" s="2">
        <f ca="1">SUMIF(OCT!$C$10:$F$45,B24,OCT!$E$10:$F$45)</f>
        <v>0</v>
      </c>
      <c r="M24" s="2">
        <f ca="1">SUMIF(NOV!$D$9:$G$39,B24,NOV!$F$9:$G$39)</f>
        <v>0</v>
      </c>
      <c r="N24" s="2">
        <f ca="1">SUMIF(DIC!$C$9:$F$51,B24:B61,DIC!$E$9:$F$51)</f>
        <v>0</v>
      </c>
      <c r="O24" s="4">
        <f t="shared" ca="1" si="0"/>
        <v>35280</v>
      </c>
    </row>
    <row r="25" spans="2:17">
      <c r="B25" s="259" t="s">
        <v>125</v>
      </c>
      <c r="C25" s="2">
        <f ca="1">SUMIF(ENE!$D$11:$G$43,B17:B40,ENE!$F$11:$G$43)</f>
        <v>0</v>
      </c>
      <c r="D25" s="2">
        <f ca="1">SUMIF(FEB!$C$11:$F$47,'Mov X buque'!B25,FEB!$E$11:$F$47)</f>
        <v>0</v>
      </c>
      <c r="E25" s="2">
        <f ca="1">SUMIF(MAR!$C$11:$F$44,'Mov X buque'!B25,MAR!$E$11:$F$44)</f>
        <v>0</v>
      </c>
      <c r="F25" s="2">
        <f ca="1">SUMIF(ABR!$C$11:$F$48,'Mov X buque'!B25,ABR!$E$11:$F$48)</f>
        <v>0</v>
      </c>
      <c r="G25" s="2">
        <f ca="1">SUMIF(MAY!$C$11:$F$51,'Mov X buque'!B25,MAY!$E$11:$F$51)</f>
        <v>0</v>
      </c>
      <c r="H25" s="2">
        <f ca="1">SUMIF(JUN!$C$11:$F$41,'Mov X buque'!B25,JUN!$E$11:$F$41)</f>
        <v>0</v>
      </c>
      <c r="I25" s="2">
        <f ca="1">SUMIF(JUL!$C$10:$F$44,'Mov X buque'!B25,JUL!$E$10:$F$44)</f>
        <v>0</v>
      </c>
      <c r="J25" s="2">
        <f ca="1">SUMIF(AGO!$C$6:$F$51,'Mov X buque'!B25,AGO!$E$6:$F$51)</f>
        <v>0</v>
      </c>
      <c r="K25" s="2">
        <f ca="1">SUMIF(SEP!$C$11:$F$76,B25,SEP!$E$11:$F$76)</f>
        <v>0</v>
      </c>
      <c r="L25" s="2">
        <f ca="1">SUMIF(OCT!$C$10:$F$45,B25,OCT!$E$10:$F$45)</f>
        <v>0</v>
      </c>
      <c r="M25" s="2">
        <f ca="1">SUMIF(NOV!$D$9:$G$39,B25,NOV!$F$9:$G$39)</f>
        <v>0</v>
      </c>
      <c r="N25" s="2">
        <f ca="1">SUMIF(DIC!$C$9:$F$51,B25:B62,DIC!$E$9:$F$51)</f>
        <v>0</v>
      </c>
      <c r="O25" s="4">
        <f t="shared" ca="1" si="0"/>
        <v>0</v>
      </c>
    </row>
    <row r="26" spans="2:17">
      <c r="B26" s="259" t="s">
        <v>126</v>
      </c>
      <c r="C26" s="2">
        <f ca="1">SUMIF(ENE!$D$11:$G$43,B18:B41,ENE!$F$11:$G$43)</f>
        <v>0</v>
      </c>
      <c r="D26" s="2">
        <f ca="1">SUMIF(FEB!$C$11:$F$47,'Mov X buque'!B26,FEB!$E$11:$F$47)</f>
        <v>0</v>
      </c>
      <c r="E26" s="2">
        <f ca="1">SUMIF(MAR!$C$11:$F$44,'Mov X buque'!B26,MAR!$E$11:$F$44)</f>
        <v>0</v>
      </c>
      <c r="F26" s="2">
        <f ca="1">SUMIF(ABR!$C$11:$F$48,'Mov X buque'!B26,ABR!$E$11:$F$48)</f>
        <v>0</v>
      </c>
      <c r="G26" s="2">
        <f ca="1">SUMIF(MAY!$C$11:$F$51,'Mov X buque'!B26,MAY!$E$11:$F$51)</f>
        <v>0</v>
      </c>
      <c r="H26" s="2">
        <f ca="1">SUMIF(JUN!$C$11:$F$41,'Mov X buque'!B26,JUN!$E$11:$F$41)</f>
        <v>0</v>
      </c>
      <c r="I26" s="2">
        <f ca="1">SUMIF(JUL!$C$10:$F$44,'Mov X buque'!B26,JUL!$E$10:$F$44)</f>
        <v>0</v>
      </c>
      <c r="J26" s="2">
        <f ca="1">SUMIF(AGO!$C$6:$F$51,'Mov X buque'!B26,AGO!$E$6:$F$51)</f>
        <v>0</v>
      </c>
      <c r="K26" s="2">
        <f ca="1">SUMIF(SEP!$C$11:$F$76,B26,SEP!$E$11:$F$76)</f>
        <v>0</v>
      </c>
      <c r="L26" s="2">
        <f ca="1">SUMIF(OCT!$C$10:$F$45,B26,OCT!$E$10:$F$45)</f>
        <v>0</v>
      </c>
      <c r="M26" s="2">
        <f ca="1">SUMIF(NOV!$D$9:$G$39,B26,NOV!$F$9:$G$39)</f>
        <v>0</v>
      </c>
      <c r="N26" s="2">
        <f ca="1">SUMIF(DIC!$C$9:$F$51,B26:B63,DIC!$E$9:$F$51)</f>
        <v>0</v>
      </c>
      <c r="O26" s="4">
        <f t="shared" ca="1" si="0"/>
        <v>0</v>
      </c>
    </row>
    <row r="27" spans="2:17">
      <c r="B27" s="35" t="s">
        <v>127</v>
      </c>
      <c r="C27" s="2">
        <f ca="1">SUMIF(ENE!$D$11:$G$43,B27:B49,ENE!$F$11:$G$43)</f>
        <v>0</v>
      </c>
      <c r="D27" s="2">
        <f ca="1">SUMIF(FEB!$C$11:$F$47,'Mov X buque'!B27,FEB!$E$11:$F$47)</f>
        <v>87030</v>
      </c>
      <c r="E27" s="2">
        <f ca="1">SUMIF(MAR!$C$11:$F$44,'Mov X buque'!B27,MAR!$E$11:$F$44)</f>
        <v>169650</v>
      </c>
      <c r="F27" s="2">
        <f ca="1">SUMIF(ABR!$C$11:$F$48,'Mov X buque'!B27,ABR!$E$11:$F$48)</f>
        <v>41490</v>
      </c>
      <c r="G27" s="2">
        <f ca="1">SUMIF(MAY!$C$11:$F$51,'Mov X buque'!B27,MAY!$E$11:$F$51)</f>
        <v>0</v>
      </c>
      <c r="H27" s="2">
        <f ca="1">SUMIF(JUN!$C$11:$F$41,'Mov X buque'!B27,JUN!$E$11:$F$41)</f>
        <v>0</v>
      </c>
      <c r="I27" s="2">
        <f ca="1">SUMIF(JUL!$C$10:$F$44,'Mov X buque'!B27,JUL!$E$10:$F$44)</f>
        <v>0</v>
      </c>
      <c r="J27" s="2">
        <f ca="1">SUMIF(AGO!$C$6:$F$51,'Mov X buque'!B27,AGO!$E$6:$F$51)</f>
        <v>0</v>
      </c>
      <c r="K27" s="2">
        <f ca="1">SUMIF(SEP!$C$11:$F$76,B27,SEP!$E$11:$F$76)</f>
        <v>0</v>
      </c>
      <c r="L27" s="2">
        <f ca="1">SUMIF(OCT!$C$10:$F$45,B27,OCT!$E$10:$F$45)</f>
        <v>0</v>
      </c>
      <c r="M27" s="2">
        <f ca="1">SUMIF(NOV!$D$9:$G$39,B27,NOV!$F$9:$G$39)</f>
        <v>0</v>
      </c>
      <c r="N27" s="2">
        <f ca="1">SUMIF(DIC!$C$9:$F$51,B27:B61,DIC!$E$9:$F$51)</f>
        <v>0</v>
      </c>
      <c r="O27" s="4">
        <f t="shared" ca="1" si="0"/>
        <v>298170</v>
      </c>
    </row>
    <row r="28" spans="2:17">
      <c r="B28" s="34" t="s">
        <v>128</v>
      </c>
      <c r="C28" s="2">
        <f ca="1">SUMIF(ENE!$D$11:$G$43,B28:B50,ENE!$F$11:$G$43)</f>
        <v>0</v>
      </c>
      <c r="D28" s="2">
        <f ca="1">SUMIF(FEB!$C$11:$F$47,'Mov X buque'!B28,FEB!$E$11:$F$47)</f>
        <v>0</v>
      </c>
      <c r="E28" s="2">
        <f ca="1">SUMIF(MAR!$C$11:$F$44,'Mov X buque'!B28,MAR!$E$11:$F$44)</f>
        <v>0</v>
      </c>
      <c r="F28" s="2">
        <f ca="1">SUMIF(ABR!$C$11:$F$48,'Mov X buque'!B28,ABR!$E$11:$F$48)</f>
        <v>0</v>
      </c>
      <c r="G28" s="2">
        <f ca="1">SUMIF(MAY!$C$11:$F$51,'Mov X buque'!B28,MAY!$E$11:$F$51)</f>
        <v>0</v>
      </c>
      <c r="H28" s="2">
        <f ca="1">SUMIF(JUN!$C$11:$F$41,'Mov X buque'!B28,JUN!$E$11:$F$41)</f>
        <v>0</v>
      </c>
      <c r="I28" s="2">
        <f ca="1">SUMIF(JUL!$C$10:$F$44,'Mov X buque'!B28,JUL!$E$10:$F$44)</f>
        <v>0</v>
      </c>
      <c r="J28" s="2">
        <f ca="1">SUMIF(AGO!$C$6:$F$51,'Mov X buque'!B28,AGO!$E$6:$F$51)</f>
        <v>0</v>
      </c>
      <c r="K28" s="2">
        <f ca="1">SUMIF(SEP!$C$11:$F$76,B28,SEP!$E$11:$F$76)</f>
        <v>0</v>
      </c>
      <c r="L28" s="2">
        <f ca="1">SUMIF(OCT!$C$10:$F$45,B28,OCT!$E$10:$F$45)</f>
        <v>0</v>
      </c>
      <c r="M28" s="2">
        <f ca="1">SUMIF(NOV!$D$9:$G$39,B28,NOV!$F$9:$G$39)</f>
        <v>0</v>
      </c>
      <c r="N28" s="2">
        <f ca="1">SUMIF(DIC!$C$9:$F$51,B28:B62,DIC!$E$9:$F$51)</f>
        <v>0</v>
      </c>
      <c r="O28" s="4">
        <f t="shared" ca="1" si="0"/>
        <v>0</v>
      </c>
    </row>
    <row r="29" spans="2:17">
      <c r="B29" s="44" t="s">
        <v>129</v>
      </c>
      <c r="C29" s="2">
        <f ca="1">SUMIF(ENE!$D$11:$G$43,B29:B50,ENE!$F$11:$G$43)</f>
        <v>0</v>
      </c>
      <c r="D29" s="2">
        <f ca="1">SUMIF(FEB!$C$11:$F$47,'Mov X buque'!B29,FEB!$E$11:$F$47)</f>
        <v>0</v>
      </c>
      <c r="E29" s="2">
        <f ca="1">SUMIF(MAR!$C$11:$F$44,'Mov X buque'!B29,MAR!$E$11:$F$44)</f>
        <v>0</v>
      </c>
      <c r="F29" s="2">
        <f ca="1">SUMIF(ABR!$C$11:$F$48,'Mov X buque'!B29,ABR!$E$11:$F$48)</f>
        <v>0</v>
      </c>
      <c r="G29" s="2">
        <f ca="1">SUMIF(MAY!$C$11:$F$51,'Mov X buque'!B29,MAY!$E$11:$F$51)</f>
        <v>0</v>
      </c>
      <c r="H29" s="2">
        <f ca="1">SUMIF(JUN!$C$11:$F$41,'Mov X buque'!B29,JUN!$E$11:$F$41)</f>
        <v>0</v>
      </c>
      <c r="I29" s="2">
        <f ca="1">SUMIF(JUL!$C$10:$F$44,'Mov X buque'!B29,JUL!$E$10:$F$44)</f>
        <v>0</v>
      </c>
      <c r="J29" s="2">
        <f ca="1">SUMIF(AGO!$C$6:$F$51,'Mov X buque'!B29,AGO!$E$6:$F$51)</f>
        <v>0</v>
      </c>
      <c r="K29" s="2">
        <f ca="1">SUMIF(SEP!$C$11:$F$76,B29,SEP!$E$11:$F$76)</f>
        <v>0</v>
      </c>
      <c r="L29" s="2">
        <f ca="1">SUMIF(OCT!$C$10:$F$45,B29,OCT!$E$10:$F$45)</f>
        <v>0</v>
      </c>
      <c r="M29" s="2">
        <f ca="1">SUMIF(NOV!$D$9:$G$39,B29,NOV!$F$9:$G$39)</f>
        <v>0</v>
      </c>
      <c r="N29" s="2">
        <f ca="1">SUMIF(DIC!$C$9:$F$51,B29:B64,DIC!$E$9:$F$51)</f>
        <v>0</v>
      </c>
      <c r="O29" s="4">
        <f t="shared" ca="1" si="0"/>
        <v>0</v>
      </c>
    </row>
    <row r="30" spans="2:17">
      <c r="B30" s="45" t="s">
        <v>130</v>
      </c>
      <c r="C30" s="2">
        <f ca="1">SUMIF(ENE!$D$11:$G$43,B30:B51,ENE!$F$11:$G$43)</f>
        <v>0</v>
      </c>
      <c r="D30" s="2">
        <f ca="1">SUMIF(FEB!$C$11:$F$47,'Mov X buque'!B30,FEB!$E$11:$F$47)</f>
        <v>0</v>
      </c>
      <c r="E30" s="2">
        <f ca="1">SUMIF(MAR!$C$11:$F$44,'Mov X buque'!B30,MAR!$E$11:$F$44)</f>
        <v>0</v>
      </c>
      <c r="F30" s="2">
        <f ca="1">SUMIF(ABR!$C$11:$F$48,'Mov X buque'!B30,ABR!$E$11:$F$48)</f>
        <v>0</v>
      </c>
      <c r="G30" s="2">
        <f ca="1">SUMIF(MAY!$C$11:$F$51,'Mov X buque'!B30,MAY!$E$11:$F$51)</f>
        <v>0</v>
      </c>
      <c r="H30" s="2">
        <f ca="1">SUMIF(JUN!$C$11:$F$51,'Mov X buque'!B30,JUN!$E$11:$F$51)</f>
        <v>0</v>
      </c>
      <c r="I30" s="2">
        <f ca="1">SUMIF(JUL!$C$11:$F$51,'Mov X buque'!B30,JUL!$E$11:$F$51)</f>
        <v>0</v>
      </c>
      <c r="J30" s="2">
        <f ca="1">SUMIF(AGO!$C$12:$F$58,'Mov X buque'!B30,AGO!$E$12:$F$58)</f>
        <v>0</v>
      </c>
      <c r="K30" s="2">
        <f ca="1">SUMIF(SEP!$C$11:$F$51,'Mov X buque'!B30,SEP!$E$11:$F$51)</f>
        <v>0</v>
      </c>
      <c r="L30" s="2">
        <f ca="1">SUMIF(OCT!$C$10:$F$45,B30,OCT!$E$10:$F$45)</f>
        <v>0</v>
      </c>
      <c r="M30" s="2">
        <f ca="1">SUMIF(NOV!$C$11:$F$51,'Mov X buque'!B30,NOV!$E$11:$F$51)</f>
        <v>0</v>
      </c>
      <c r="N30" s="2">
        <f ca="1">SUMIF(DIC!$C$9:$F$51,B30:B64,DIC!$E$9:$F$51)</f>
        <v>0</v>
      </c>
      <c r="O30" s="4">
        <f ca="1">SUM(C30:N30)</f>
        <v>0</v>
      </c>
    </row>
    <row r="31" spans="2:17">
      <c r="B31" s="45" t="s">
        <v>131</v>
      </c>
      <c r="C31" s="2">
        <f ca="1">SUMIF(ENE!$C$11:$F$58,'Mov X buque'!B31,ENE!$E$11:$F$58)</f>
        <v>0</v>
      </c>
      <c r="D31" s="2">
        <f ca="1">SUMIF(FEB!$C$11:$F$52,'Mov X buque'!B31,FEB!$E$11:$F$52)</f>
        <v>0</v>
      </c>
      <c r="E31" s="2">
        <f ca="1">SUMIF(MAR!$C$11:$F$50,'Mov X buque'!B31,MAR!$E$11:$F$50)</f>
        <v>0</v>
      </c>
      <c r="F31" s="2">
        <f ca="1">SUMIF(ABR!$C$11:$F$48,'Mov X buque'!B31,ABR!$E$11:$F$48)</f>
        <v>0</v>
      </c>
      <c r="G31" s="2">
        <f ca="1">SUMIF(MAY!$C$11:$F$51,'Mov X buque'!B31,MAY!$E$11:$F$51)</f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f ca="1">SUMIF(NOV!$D$9:$G$39,B31,NOV!$F$9:$G$39)</f>
        <v>0</v>
      </c>
      <c r="N31" s="2">
        <f ca="1">SUMIF(DIC!$C$9:$F$51,B31:B65,DIC!$E$9:$F$51)</f>
        <v>0</v>
      </c>
      <c r="O31" s="4">
        <f ca="1">SUM(C31:N31)</f>
        <v>0</v>
      </c>
    </row>
    <row r="32" spans="2:17" s="7" customFormat="1" ht="19.5" customHeight="1">
      <c r="B32" s="261" t="s">
        <v>50</v>
      </c>
      <c r="C32" s="262">
        <f t="shared" ref="C32:O32" ca="1" si="1">SUM(C5:C31)</f>
        <v>123390</v>
      </c>
      <c r="D32" s="262">
        <f t="shared" ca="1" si="1"/>
        <v>176790</v>
      </c>
      <c r="E32" s="262">
        <f t="shared" ca="1" si="1"/>
        <v>370560</v>
      </c>
      <c r="F32" s="262">
        <f t="shared" ca="1" si="1"/>
        <v>201990</v>
      </c>
      <c r="G32" s="262">
        <f t="shared" ca="1" si="1"/>
        <v>60900</v>
      </c>
      <c r="H32" s="262">
        <f t="shared" ca="1" si="1"/>
        <v>0</v>
      </c>
      <c r="I32" s="262">
        <f t="shared" ca="1" si="1"/>
        <v>0</v>
      </c>
      <c r="J32" s="262">
        <f t="shared" ca="1" si="1"/>
        <v>132390</v>
      </c>
      <c r="K32" s="262">
        <f t="shared" ca="1" si="1"/>
        <v>142590</v>
      </c>
      <c r="L32" s="262">
        <f t="shared" ca="1" si="1"/>
        <v>218520</v>
      </c>
      <c r="M32" s="262">
        <f t="shared" ca="1" si="1"/>
        <v>775320</v>
      </c>
      <c r="N32" s="262">
        <f t="shared" ca="1" si="1"/>
        <v>535080</v>
      </c>
      <c r="O32" s="262">
        <f t="shared" ca="1" si="1"/>
        <v>2737530</v>
      </c>
    </row>
    <row r="33" spans="2:15"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2:15">
      <c r="D34" s="2"/>
    </row>
    <row r="35" spans="2:15">
      <c r="B35" s="265" t="s">
        <v>11</v>
      </c>
      <c r="D35" s="5"/>
      <c r="I35" s="2"/>
      <c r="J35" s="2"/>
    </row>
    <row r="36" spans="2:15">
      <c r="B36" s="44" t="s">
        <v>70</v>
      </c>
      <c r="C36" s="2">
        <f ca="1">C29</f>
        <v>0</v>
      </c>
      <c r="D36" s="2">
        <f ca="1">D29</f>
        <v>0</v>
      </c>
      <c r="E36" s="2">
        <v>0</v>
      </c>
      <c r="F36" s="2">
        <v>0</v>
      </c>
      <c r="G36" s="2">
        <f ca="1">G5+G6+G8+G12+G13+G14</f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f ca="1">M29</f>
        <v>0</v>
      </c>
      <c r="N36" s="2">
        <v>0</v>
      </c>
      <c r="O36" s="4">
        <f t="shared" ref="O36:O48" ca="1" si="2">SUM(C36:N36)</f>
        <v>0</v>
      </c>
    </row>
    <row r="37" spans="2:15">
      <c r="B37" s="40" t="s">
        <v>37</v>
      </c>
      <c r="C37" s="2">
        <f t="shared" ref="C37:E37" ca="1" si="3">C8</f>
        <v>0</v>
      </c>
      <c r="D37" s="2">
        <f t="shared" ca="1" si="3"/>
        <v>0</v>
      </c>
      <c r="E37" s="2">
        <f t="shared" ca="1" si="3"/>
        <v>76920</v>
      </c>
      <c r="F37" s="2">
        <f ca="1">F8+F9+F10+F11</f>
        <v>48750</v>
      </c>
      <c r="G37" s="2">
        <f t="shared" ref="G37:I37" ca="1" si="4">G8+G9</f>
        <v>0</v>
      </c>
      <c r="H37" s="2">
        <f t="shared" ca="1" si="4"/>
        <v>0</v>
      </c>
      <c r="I37" s="2">
        <f t="shared" ca="1" si="4"/>
        <v>0</v>
      </c>
      <c r="J37" s="2">
        <f ca="1">J8+J9+J10+J22+J11</f>
        <v>132390</v>
      </c>
      <c r="K37" s="2">
        <f t="shared" ref="K37:N37" ca="1" si="5">K8+K9+K10+K22+K11</f>
        <v>103230</v>
      </c>
      <c r="L37" s="2">
        <f t="shared" ca="1" si="5"/>
        <v>218520</v>
      </c>
      <c r="M37" s="2">
        <f t="shared" ca="1" si="5"/>
        <v>642960</v>
      </c>
      <c r="N37" s="2">
        <f t="shared" ca="1" si="5"/>
        <v>431880</v>
      </c>
      <c r="O37" s="4">
        <f t="shared" ca="1" si="2"/>
        <v>1654650</v>
      </c>
    </row>
    <row r="38" spans="2:15">
      <c r="B38" s="38" t="s">
        <v>18</v>
      </c>
      <c r="C38" s="2">
        <f ca="1">C28+C21</f>
        <v>0</v>
      </c>
      <c r="D38" s="2">
        <f ca="1">D28+D21</f>
        <v>0</v>
      </c>
      <c r="E38" s="2">
        <f ca="1">E28+E21</f>
        <v>0</v>
      </c>
      <c r="F38" s="2">
        <f t="shared" ref="F38:N38" ca="1" si="6">F28+F21</f>
        <v>0</v>
      </c>
      <c r="G38" s="2">
        <f t="shared" ca="1" si="6"/>
        <v>0</v>
      </c>
      <c r="H38" s="2">
        <f t="shared" ca="1" si="6"/>
        <v>0</v>
      </c>
      <c r="I38" s="2">
        <f t="shared" ca="1" si="6"/>
        <v>0</v>
      </c>
      <c r="J38" s="2">
        <f t="shared" ca="1" si="6"/>
        <v>0</v>
      </c>
      <c r="K38" s="2">
        <f t="shared" ca="1" si="6"/>
        <v>0</v>
      </c>
      <c r="L38" s="2">
        <f t="shared" ca="1" si="6"/>
        <v>0</v>
      </c>
      <c r="M38" s="2">
        <f t="shared" ca="1" si="6"/>
        <v>0</v>
      </c>
      <c r="N38" s="2">
        <f t="shared" ca="1" si="6"/>
        <v>0</v>
      </c>
      <c r="O38" s="4">
        <f t="shared" ca="1" si="2"/>
        <v>0</v>
      </c>
    </row>
    <row r="39" spans="2:15">
      <c r="B39" s="39" t="s">
        <v>33</v>
      </c>
      <c r="C39" s="2">
        <f t="shared" ref="C39:L39" ca="1" si="7">+C18</f>
        <v>0</v>
      </c>
      <c r="D39" s="2">
        <f ca="1">+D18</f>
        <v>0</v>
      </c>
      <c r="E39" s="2">
        <f t="shared" ca="1" si="7"/>
        <v>0</v>
      </c>
      <c r="F39" s="2">
        <f t="shared" ca="1" si="7"/>
        <v>0</v>
      </c>
      <c r="G39" s="2">
        <f t="shared" ca="1" si="7"/>
        <v>0</v>
      </c>
      <c r="H39" s="2">
        <f t="shared" ca="1" si="7"/>
        <v>0</v>
      </c>
      <c r="I39" s="2">
        <f t="shared" ca="1" si="7"/>
        <v>0</v>
      </c>
      <c r="J39" s="2">
        <v>0</v>
      </c>
      <c r="K39" s="2">
        <f t="shared" ca="1" si="7"/>
        <v>0</v>
      </c>
      <c r="L39" s="2">
        <f t="shared" ca="1" si="7"/>
        <v>0</v>
      </c>
      <c r="M39" s="2">
        <f ca="1">M18</f>
        <v>0</v>
      </c>
      <c r="N39" s="2">
        <f ca="1">N18</f>
        <v>0</v>
      </c>
      <c r="O39" s="4">
        <f t="shared" ca="1" si="2"/>
        <v>0</v>
      </c>
    </row>
    <row r="40" spans="2:15">
      <c r="B40" s="37" t="s">
        <v>132</v>
      </c>
      <c r="C40" s="2">
        <f ca="1">C19+C15</f>
        <v>123390</v>
      </c>
      <c r="D40" s="2">
        <f t="shared" ref="D40:N40" ca="1" si="8">D19+D15</f>
        <v>89760</v>
      </c>
      <c r="E40" s="2">
        <f t="shared" ca="1" si="8"/>
        <v>123990</v>
      </c>
      <c r="F40" s="2">
        <f t="shared" ca="1" si="8"/>
        <v>50880</v>
      </c>
      <c r="G40" s="2">
        <f t="shared" ca="1" si="8"/>
        <v>60900</v>
      </c>
      <c r="H40" s="2">
        <f t="shared" ca="1" si="8"/>
        <v>0</v>
      </c>
      <c r="I40" s="2">
        <f t="shared" ca="1" si="8"/>
        <v>0</v>
      </c>
      <c r="J40" s="2">
        <f t="shared" ca="1" si="8"/>
        <v>0</v>
      </c>
      <c r="K40" s="2">
        <f t="shared" ca="1" si="8"/>
        <v>0</v>
      </c>
      <c r="L40" s="2">
        <f t="shared" ca="1" si="8"/>
        <v>0</v>
      </c>
      <c r="M40" s="2">
        <f t="shared" ca="1" si="8"/>
        <v>132360</v>
      </c>
      <c r="N40" s="2">
        <f t="shared" ca="1" si="8"/>
        <v>103200</v>
      </c>
      <c r="O40" s="4">
        <f t="shared" ca="1" si="2"/>
        <v>684480</v>
      </c>
    </row>
    <row r="41" spans="2:15">
      <c r="B41" s="47" t="s">
        <v>133</v>
      </c>
      <c r="C41" s="2">
        <f ca="1">C6+C12</f>
        <v>0</v>
      </c>
      <c r="D41" s="2">
        <f t="shared" ref="D41:I41" ca="1" si="9">D6+D12</f>
        <v>0</v>
      </c>
      <c r="E41" s="2">
        <f t="shared" ca="1" si="9"/>
        <v>0</v>
      </c>
      <c r="F41" s="2">
        <f t="shared" ca="1" si="9"/>
        <v>0</v>
      </c>
      <c r="G41" s="2">
        <f t="shared" ca="1" si="9"/>
        <v>0</v>
      </c>
      <c r="H41" s="2">
        <f t="shared" ca="1" si="9"/>
        <v>0</v>
      </c>
      <c r="I41" s="2">
        <f t="shared" ca="1" si="9"/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4">
        <f t="shared" ca="1" si="2"/>
        <v>0</v>
      </c>
    </row>
    <row r="42" spans="2:15">
      <c r="B42" s="47" t="s">
        <v>19</v>
      </c>
      <c r="C42" s="2">
        <v>0</v>
      </c>
      <c r="D42" s="2">
        <v>0</v>
      </c>
      <c r="E42" s="2">
        <v>0</v>
      </c>
      <c r="F42" s="2">
        <f ca="1">F7</f>
        <v>25590</v>
      </c>
      <c r="G42" s="2">
        <v>0</v>
      </c>
      <c r="H42" s="2">
        <v>0</v>
      </c>
      <c r="I42" s="2">
        <v>0</v>
      </c>
      <c r="J42" s="2">
        <f ca="1">J6</f>
        <v>0</v>
      </c>
      <c r="K42" s="2">
        <f ca="1">K7</f>
        <v>39360</v>
      </c>
      <c r="L42" s="2">
        <f t="shared" ref="L42:N42" ca="1" si="10">L6</f>
        <v>0</v>
      </c>
      <c r="M42" s="2">
        <f t="shared" ca="1" si="10"/>
        <v>0</v>
      </c>
      <c r="N42" s="2">
        <f t="shared" ca="1" si="10"/>
        <v>0</v>
      </c>
      <c r="O42" s="4">
        <f t="shared" ca="1" si="2"/>
        <v>64950</v>
      </c>
    </row>
    <row r="43" spans="2:15">
      <c r="B43" s="47" t="s">
        <v>61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f ca="1">J12</f>
        <v>0</v>
      </c>
      <c r="K43" s="2">
        <f t="shared" ref="K43:N43" ca="1" si="11">K12</f>
        <v>0</v>
      </c>
      <c r="L43" s="2">
        <f t="shared" ca="1" si="11"/>
        <v>0</v>
      </c>
      <c r="M43" s="2">
        <f t="shared" ca="1" si="11"/>
        <v>0</v>
      </c>
      <c r="N43" s="2">
        <f t="shared" ca="1" si="11"/>
        <v>0</v>
      </c>
      <c r="O43" s="4">
        <f t="shared" ca="1" si="2"/>
        <v>0</v>
      </c>
    </row>
    <row r="44" spans="2:15">
      <c r="B44" t="s">
        <v>60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f ca="1">J20</f>
        <v>0</v>
      </c>
      <c r="K44" s="2">
        <f t="shared" ref="K44:N44" ca="1" si="12">K20</f>
        <v>0</v>
      </c>
      <c r="L44" s="2">
        <f t="shared" ca="1" si="12"/>
        <v>0</v>
      </c>
      <c r="M44" s="2">
        <f t="shared" ca="1" si="12"/>
        <v>0</v>
      </c>
      <c r="N44" s="2">
        <f t="shared" ca="1" si="12"/>
        <v>0</v>
      </c>
      <c r="O44" s="4">
        <f t="shared" ca="1" si="2"/>
        <v>0</v>
      </c>
    </row>
    <row r="45" spans="2:15">
      <c r="B45" s="45" t="s">
        <v>134</v>
      </c>
      <c r="C45" s="2">
        <f ca="1">C30+C31</f>
        <v>0</v>
      </c>
      <c r="D45" s="2">
        <f t="shared" ref="D45:N45" ca="1" si="13">D30+D31</f>
        <v>0</v>
      </c>
      <c r="E45" s="2">
        <f t="shared" ca="1" si="13"/>
        <v>0</v>
      </c>
      <c r="F45" s="2">
        <f t="shared" ca="1" si="13"/>
        <v>0</v>
      </c>
      <c r="G45" s="2">
        <f t="shared" ca="1" si="13"/>
        <v>0</v>
      </c>
      <c r="H45" s="2">
        <f t="shared" ca="1" si="13"/>
        <v>0</v>
      </c>
      <c r="I45" s="2">
        <f t="shared" ca="1" si="13"/>
        <v>0</v>
      </c>
      <c r="J45" s="2">
        <f t="shared" ca="1" si="13"/>
        <v>0</v>
      </c>
      <c r="K45" s="2">
        <f t="shared" ca="1" si="13"/>
        <v>0</v>
      </c>
      <c r="L45" s="2">
        <f t="shared" ca="1" si="13"/>
        <v>0</v>
      </c>
      <c r="M45" s="2">
        <f t="shared" ca="1" si="13"/>
        <v>0</v>
      </c>
      <c r="N45" s="2">
        <f t="shared" ca="1" si="13"/>
        <v>0</v>
      </c>
      <c r="O45" s="4">
        <f t="shared" ca="1" si="2"/>
        <v>0</v>
      </c>
    </row>
    <row r="46" spans="2:15">
      <c r="B46" s="260" t="s">
        <v>135</v>
      </c>
      <c r="C46" s="2">
        <f ca="1">C23</f>
        <v>0</v>
      </c>
      <c r="D46" s="2">
        <f t="shared" ref="D46:H46" ca="1" si="14">D23</f>
        <v>0</v>
      </c>
      <c r="E46" s="2">
        <f t="shared" ca="1" si="14"/>
        <v>0</v>
      </c>
      <c r="F46" s="2">
        <f ca="1">F24</f>
        <v>35280</v>
      </c>
      <c r="G46" s="2">
        <f t="shared" ca="1" si="14"/>
        <v>0</v>
      </c>
      <c r="H46" s="2">
        <f t="shared" ca="1" si="14"/>
        <v>0</v>
      </c>
      <c r="I46" s="2">
        <f ca="1">I23+I24+I25+I26+I22</f>
        <v>0</v>
      </c>
      <c r="J46" s="2">
        <f ca="1">J23+J24+J25+J26</f>
        <v>0</v>
      </c>
      <c r="K46" s="2">
        <f t="shared" ref="K46:N46" ca="1" si="15">K23+K24+K25+K26</f>
        <v>0</v>
      </c>
      <c r="L46" s="2">
        <f t="shared" ca="1" si="15"/>
        <v>0</v>
      </c>
      <c r="M46" s="2">
        <f t="shared" ca="1" si="15"/>
        <v>0</v>
      </c>
      <c r="N46" s="2">
        <f t="shared" ca="1" si="15"/>
        <v>0</v>
      </c>
      <c r="O46" s="4">
        <f t="shared" ca="1" si="2"/>
        <v>35280</v>
      </c>
    </row>
    <row r="47" spans="2:15">
      <c r="B47" s="264" t="s">
        <v>56</v>
      </c>
      <c r="C47" s="2">
        <f ca="1">C16</f>
        <v>0</v>
      </c>
      <c r="D47" s="2">
        <f t="shared" ref="D47:H47" ca="1" si="16">D16</f>
        <v>0</v>
      </c>
      <c r="E47" s="2">
        <f t="shared" ca="1" si="16"/>
        <v>0</v>
      </c>
      <c r="F47" s="2">
        <f t="shared" ca="1" si="16"/>
        <v>0</v>
      </c>
      <c r="G47" s="2">
        <f t="shared" ca="1" si="16"/>
        <v>0</v>
      </c>
      <c r="H47" s="2">
        <f t="shared" ca="1" si="16"/>
        <v>0</v>
      </c>
      <c r="I47" s="2">
        <f ca="1">I16+I17</f>
        <v>0</v>
      </c>
      <c r="J47" s="2">
        <f t="shared" ref="J47:N47" ca="1" si="17">J16+J17</f>
        <v>0</v>
      </c>
      <c r="K47" s="2">
        <f t="shared" ca="1" si="17"/>
        <v>0</v>
      </c>
      <c r="L47" s="2">
        <f t="shared" ca="1" si="17"/>
        <v>0</v>
      </c>
      <c r="M47" s="2">
        <f t="shared" ca="1" si="17"/>
        <v>0</v>
      </c>
      <c r="N47" s="2">
        <f t="shared" ca="1" si="17"/>
        <v>0</v>
      </c>
      <c r="O47" s="4">
        <f t="shared" ca="1" si="2"/>
        <v>0</v>
      </c>
    </row>
    <row r="48" spans="2:15">
      <c r="B48" s="35" t="s">
        <v>16</v>
      </c>
      <c r="C48" s="2">
        <f ca="1">C5+C14+C27</f>
        <v>0</v>
      </c>
      <c r="D48" s="2">
        <f t="shared" ref="D48:N48" ca="1" si="18">D5+D14+D27</f>
        <v>87030</v>
      </c>
      <c r="E48" s="2">
        <f t="shared" ca="1" si="18"/>
        <v>169650</v>
      </c>
      <c r="F48" s="2">
        <f t="shared" ca="1" si="18"/>
        <v>41490</v>
      </c>
      <c r="G48" s="2">
        <f t="shared" ca="1" si="18"/>
        <v>0</v>
      </c>
      <c r="H48" s="2">
        <f t="shared" ca="1" si="18"/>
        <v>0</v>
      </c>
      <c r="I48" s="2">
        <f t="shared" ca="1" si="18"/>
        <v>0</v>
      </c>
      <c r="J48" s="2">
        <f t="shared" ca="1" si="18"/>
        <v>0</v>
      </c>
      <c r="K48" s="2">
        <f t="shared" ca="1" si="18"/>
        <v>0</v>
      </c>
      <c r="L48" s="2">
        <f t="shared" ca="1" si="18"/>
        <v>0</v>
      </c>
      <c r="M48" s="2">
        <f t="shared" ca="1" si="18"/>
        <v>0</v>
      </c>
      <c r="N48" s="2">
        <f t="shared" ca="1" si="18"/>
        <v>0</v>
      </c>
      <c r="O48" s="4">
        <f t="shared" ca="1" si="2"/>
        <v>298170</v>
      </c>
    </row>
    <row r="49" spans="2:15" ht="20.25" customHeight="1">
      <c r="B49" s="261" t="s">
        <v>50</v>
      </c>
      <c r="C49" s="262">
        <f t="shared" ref="C49:J49" ca="1" si="19">SUM(C36:C48)</f>
        <v>123390</v>
      </c>
      <c r="D49" s="262">
        <f t="shared" ca="1" si="19"/>
        <v>176790</v>
      </c>
      <c r="E49" s="262">
        <f t="shared" ca="1" si="19"/>
        <v>370560</v>
      </c>
      <c r="F49" s="262">
        <f ca="1">SUM(F36:F48)</f>
        <v>201990</v>
      </c>
      <c r="G49" s="262">
        <f t="shared" ca="1" si="19"/>
        <v>60900</v>
      </c>
      <c r="H49" s="262">
        <f t="shared" ca="1" si="19"/>
        <v>0</v>
      </c>
      <c r="I49" s="262">
        <f t="shared" ca="1" si="19"/>
        <v>0</v>
      </c>
      <c r="J49" s="262">
        <f t="shared" ca="1" si="19"/>
        <v>132390</v>
      </c>
      <c r="K49" s="262">
        <f ca="1">SUM(K36:K48)</f>
        <v>142590</v>
      </c>
      <c r="L49" s="262">
        <f ca="1">SUM(L36:L48)</f>
        <v>218520</v>
      </c>
      <c r="M49" s="262">
        <f ca="1">SUM(M36:M48)</f>
        <v>775320</v>
      </c>
      <c r="N49" s="262">
        <f ca="1">SUM(N36:N48)</f>
        <v>535080</v>
      </c>
      <c r="O49" s="262">
        <f ca="1">SUM(O36:O48)</f>
        <v>2737530</v>
      </c>
    </row>
  </sheetData>
  <mergeCells count="1">
    <mergeCell ref="C2:O2"/>
  </mergeCells>
  <phoneticPr fontId="0" type="noConversion"/>
  <pageMargins left="0.74803149606299213" right="0.74803149606299213" top="0.98425196850393704" bottom="0.98425196850393704" header="0" footer="0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3"/>
  <sheetViews>
    <sheetView showGridLines="0" zoomScaleNormal="100" zoomScaleSheetLayoutView="100" workbookViewId="0">
      <selection activeCell="F21" sqref="F21:G21"/>
    </sheetView>
  </sheetViews>
  <sheetFormatPr defaultColWidth="9.140625" defaultRowHeight="12.75"/>
  <cols>
    <col min="1" max="2" width="4.28515625" style="53" customWidth="1"/>
    <col min="3" max="10" width="12.42578125" style="53" customWidth="1"/>
    <col min="11" max="254" width="11.42578125" style="53" customWidth="1"/>
    <col min="255" max="16384" width="9.140625" style="53"/>
  </cols>
  <sheetData>
    <row r="1" spans="1:11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>
      <c r="A3" s="55"/>
      <c r="B3" s="55"/>
      <c r="C3" s="51"/>
      <c r="D3" s="51"/>
      <c r="E3" s="54"/>
      <c r="F3" s="54"/>
      <c r="G3" s="54"/>
      <c r="H3" s="54"/>
      <c r="I3" s="54"/>
      <c r="J3" s="54"/>
      <c r="K3" s="51"/>
    </row>
    <row r="4" spans="1:11">
      <c r="A4" s="48"/>
      <c r="B4" s="48"/>
      <c r="C4" s="51"/>
      <c r="D4" s="51"/>
      <c r="E4" s="54"/>
      <c r="F4" s="54"/>
      <c r="G4" s="54"/>
      <c r="H4" s="54"/>
      <c r="I4" s="54"/>
      <c r="J4" s="54"/>
      <c r="K4" s="51"/>
    </row>
    <row r="5" spans="1:11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>
      <c r="A7" s="48"/>
      <c r="B7" s="48"/>
      <c r="C7" s="51"/>
      <c r="D7" s="51"/>
      <c r="E7" s="272" t="s">
        <v>1</v>
      </c>
      <c r="F7" s="272"/>
      <c r="G7" s="272"/>
      <c r="H7" s="272"/>
      <c r="I7" s="186" t="s">
        <v>2</v>
      </c>
      <c r="J7" s="187">
        <f>CARÁT!$F$16</f>
        <v>2023</v>
      </c>
      <c r="K7" s="51"/>
    </row>
    <row r="8" spans="1:11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51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51"/>
    </row>
    <row r="11" spans="1:11">
      <c r="A11" s="153"/>
      <c r="B11" s="258">
        <v>2</v>
      </c>
      <c r="C11" s="156">
        <v>44933</v>
      </c>
      <c r="D11" s="326" t="s">
        <v>8</v>
      </c>
      <c r="E11" s="326"/>
      <c r="F11" s="275">
        <v>42960</v>
      </c>
      <c r="G11" s="275"/>
      <c r="H11" s="157" t="s">
        <v>9</v>
      </c>
      <c r="I11" s="157"/>
      <c r="J11" s="157"/>
      <c r="K11" s="51"/>
    </row>
    <row r="12" spans="1:11">
      <c r="A12" s="153"/>
      <c r="B12" s="258">
        <v>3</v>
      </c>
      <c r="C12" s="156">
        <v>44943</v>
      </c>
      <c r="D12" s="327" t="s">
        <v>8</v>
      </c>
      <c r="E12" s="327"/>
      <c r="F12" s="275">
        <v>39600</v>
      </c>
      <c r="G12" s="275"/>
      <c r="H12" s="157" t="s">
        <v>9</v>
      </c>
      <c r="I12" s="157"/>
      <c r="J12" s="157"/>
      <c r="K12" s="51"/>
    </row>
    <row r="13" spans="1:11">
      <c r="A13" s="153"/>
      <c r="B13" s="258">
        <v>4</v>
      </c>
      <c r="C13" s="156">
        <v>44949</v>
      </c>
      <c r="D13" s="327" t="s">
        <v>8</v>
      </c>
      <c r="E13" s="327"/>
      <c r="F13" s="275">
        <v>3960</v>
      </c>
      <c r="G13" s="275"/>
      <c r="H13" s="157" t="s">
        <v>9</v>
      </c>
      <c r="I13" s="157"/>
      <c r="J13" s="157"/>
      <c r="K13" s="51"/>
    </row>
    <row r="14" spans="1:11">
      <c r="A14" s="153"/>
      <c r="B14" s="258">
        <v>5</v>
      </c>
      <c r="C14" s="156">
        <v>44956</v>
      </c>
      <c r="D14" s="290" t="s">
        <v>8</v>
      </c>
      <c r="E14" s="290"/>
      <c r="F14" s="275">
        <v>36870</v>
      </c>
      <c r="G14" s="275"/>
      <c r="H14" s="157" t="s">
        <v>9</v>
      </c>
      <c r="I14" s="157"/>
      <c r="J14" s="157"/>
      <c r="K14" s="51"/>
    </row>
    <row r="15" spans="1:11">
      <c r="A15" s="153"/>
      <c r="B15" s="258"/>
      <c r="C15" s="156"/>
      <c r="D15" s="327"/>
      <c r="E15" s="327"/>
      <c r="F15" s="275"/>
      <c r="G15" s="275"/>
      <c r="H15" s="157"/>
      <c r="I15" s="157"/>
      <c r="J15" s="157"/>
      <c r="K15" s="51"/>
    </row>
    <row r="16" spans="1:11">
      <c r="A16" s="153"/>
      <c r="B16" s="258"/>
      <c r="C16" s="156"/>
      <c r="D16" s="327"/>
      <c r="E16" s="327"/>
      <c r="F16" s="275"/>
      <c r="G16" s="275"/>
      <c r="H16" s="273"/>
      <c r="I16" s="273"/>
      <c r="J16" s="273"/>
      <c r="K16" s="51"/>
    </row>
    <row r="17" spans="1:11">
      <c r="A17" s="153"/>
      <c r="B17" s="155"/>
      <c r="C17" s="156"/>
      <c r="D17" s="327"/>
      <c r="E17" s="327"/>
      <c r="F17" s="275"/>
      <c r="G17" s="275"/>
      <c r="H17" s="273"/>
      <c r="I17" s="273"/>
      <c r="J17" s="273"/>
      <c r="K17" s="51"/>
    </row>
    <row r="18" spans="1:11">
      <c r="A18" s="153"/>
      <c r="B18" s="155"/>
      <c r="C18" s="156"/>
      <c r="D18" s="327"/>
      <c r="E18" s="327"/>
      <c r="F18" s="275"/>
      <c r="G18" s="275"/>
      <c r="H18" s="273"/>
      <c r="I18" s="273"/>
      <c r="J18" s="273"/>
      <c r="K18" s="51"/>
    </row>
    <row r="19" spans="1:11">
      <c r="A19" s="153"/>
      <c r="B19" s="155"/>
      <c r="C19" s="156"/>
      <c r="D19" s="327"/>
      <c r="E19" s="327"/>
      <c r="F19" s="275"/>
      <c r="G19" s="275"/>
      <c r="H19" s="273"/>
      <c r="I19" s="273"/>
      <c r="J19" s="273"/>
      <c r="K19" s="51"/>
    </row>
    <row r="20" spans="1:11">
      <c r="A20" s="153"/>
      <c r="B20" s="155"/>
      <c r="C20" s="156"/>
      <c r="D20" s="327"/>
      <c r="E20" s="327"/>
      <c r="F20" s="275"/>
      <c r="G20" s="275"/>
      <c r="H20" s="273"/>
      <c r="I20" s="273"/>
      <c r="J20" s="273"/>
      <c r="K20" s="51"/>
    </row>
    <row r="21" spans="1:11">
      <c r="A21" s="153"/>
      <c r="B21" s="155"/>
      <c r="C21" s="156"/>
      <c r="D21" s="327"/>
      <c r="E21" s="327"/>
      <c r="F21" s="275"/>
      <c r="G21" s="275"/>
      <c r="H21" s="273"/>
      <c r="I21" s="273"/>
      <c r="J21" s="273"/>
      <c r="K21" s="51"/>
    </row>
    <row r="22" spans="1:11">
      <c r="A22" s="153"/>
      <c r="B22" s="155"/>
      <c r="C22" s="156"/>
      <c r="D22" s="327"/>
      <c r="E22" s="327"/>
      <c r="F22" s="275"/>
      <c r="G22" s="275"/>
      <c r="H22" s="273"/>
      <c r="I22" s="273"/>
      <c r="J22" s="273"/>
      <c r="K22" s="51"/>
    </row>
    <row r="23" spans="1:11">
      <c r="A23" s="153"/>
      <c r="B23" s="155"/>
      <c r="C23" s="156"/>
      <c r="D23" s="327"/>
      <c r="E23" s="327"/>
      <c r="F23" s="275"/>
      <c r="G23" s="275"/>
      <c r="H23" s="273"/>
      <c r="I23" s="273"/>
      <c r="J23" s="273"/>
      <c r="K23" s="51"/>
    </row>
    <row r="24" spans="1:11">
      <c r="A24" s="153"/>
      <c r="B24" s="155"/>
      <c r="C24" s="156"/>
      <c r="D24" s="327"/>
      <c r="E24" s="327"/>
      <c r="F24" s="275"/>
      <c r="G24" s="275"/>
      <c r="H24" s="273"/>
      <c r="I24" s="273"/>
      <c r="J24" s="273"/>
      <c r="K24" s="51"/>
    </row>
    <row r="25" spans="1:11">
      <c r="A25" s="153"/>
      <c r="B25" s="155"/>
      <c r="C25" s="156"/>
      <c r="D25" s="327"/>
      <c r="E25" s="327"/>
      <c r="F25" s="275"/>
      <c r="G25" s="275"/>
      <c r="H25" s="273"/>
      <c r="I25" s="273"/>
      <c r="J25" s="273"/>
      <c r="K25" s="51"/>
    </row>
    <row r="26" spans="1:11">
      <c r="A26" s="153"/>
      <c r="B26" s="155"/>
      <c r="C26" s="156"/>
      <c r="D26" s="327"/>
      <c r="E26" s="327"/>
      <c r="F26" s="274"/>
      <c r="G26" s="274"/>
      <c r="H26" s="273"/>
      <c r="I26" s="273"/>
      <c r="J26" s="273"/>
      <c r="K26" s="51"/>
    </row>
    <row r="27" spans="1:11">
      <c r="A27" s="153"/>
      <c r="B27" s="155"/>
      <c r="C27" s="156"/>
      <c r="D27" s="327"/>
      <c r="E27" s="327"/>
      <c r="F27" s="274"/>
      <c r="G27" s="274"/>
      <c r="H27" s="273"/>
      <c r="I27" s="273"/>
      <c r="J27" s="273"/>
      <c r="K27" s="51"/>
    </row>
    <row r="28" spans="1:11">
      <c r="A28" s="153"/>
      <c r="B28" s="155"/>
      <c r="C28" s="156"/>
      <c r="D28" s="327"/>
      <c r="E28" s="327"/>
      <c r="F28" s="274"/>
      <c r="G28" s="274"/>
      <c r="H28" s="273"/>
      <c r="I28" s="273"/>
      <c r="J28" s="273"/>
      <c r="K28" s="51"/>
    </row>
    <row r="29" spans="1:11">
      <c r="A29" s="153"/>
      <c r="B29" s="155"/>
      <c r="C29" s="156"/>
      <c r="D29" s="327"/>
      <c r="E29" s="327"/>
      <c r="F29" s="274"/>
      <c r="G29" s="274"/>
      <c r="H29" s="273"/>
      <c r="I29" s="273"/>
      <c r="J29" s="273"/>
      <c r="K29" s="51"/>
    </row>
    <row r="30" spans="1:11">
      <c r="A30" s="153"/>
      <c r="B30" s="155"/>
      <c r="C30" s="156"/>
      <c r="D30" s="327"/>
      <c r="E30" s="327"/>
      <c r="F30" s="274"/>
      <c r="G30" s="274"/>
      <c r="H30" s="273"/>
      <c r="I30" s="273"/>
      <c r="J30" s="273"/>
      <c r="K30" s="51"/>
    </row>
    <row r="31" spans="1:11">
      <c r="A31" s="153"/>
      <c r="B31" s="155"/>
      <c r="C31" s="156"/>
      <c r="D31" s="327"/>
      <c r="E31" s="327"/>
      <c r="F31" s="274"/>
      <c r="G31" s="274"/>
      <c r="H31" s="273"/>
      <c r="I31" s="273"/>
      <c r="J31" s="273"/>
      <c r="K31" s="51"/>
    </row>
    <row r="32" spans="1:11">
      <c r="A32" s="153"/>
      <c r="B32" s="155"/>
      <c r="C32" s="156"/>
      <c r="D32" s="273"/>
      <c r="E32" s="273"/>
      <c r="F32" s="274"/>
      <c r="G32" s="274"/>
      <c r="H32" s="273"/>
      <c r="I32" s="273"/>
      <c r="J32" s="273"/>
      <c r="K32" s="51"/>
    </row>
    <row r="33" spans="1:11">
      <c r="A33" s="153"/>
      <c r="B33" s="155"/>
      <c r="C33" s="156"/>
      <c r="D33" s="273"/>
      <c r="E33" s="273"/>
      <c r="F33" s="274"/>
      <c r="G33" s="274"/>
      <c r="H33" s="273"/>
      <c r="I33" s="273"/>
      <c r="J33" s="273"/>
      <c r="K33" s="51"/>
    </row>
    <row r="34" spans="1:11">
      <c r="A34" s="153"/>
      <c r="B34" s="155"/>
      <c r="C34" s="156"/>
      <c r="D34" s="273"/>
      <c r="E34" s="273"/>
      <c r="F34" s="274"/>
      <c r="G34" s="274"/>
      <c r="H34" s="273"/>
      <c r="I34" s="273"/>
      <c r="J34" s="273"/>
      <c r="K34" s="51"/>
    </row>
    <row r="35" spans="1:11">
      <c r="A35" s="153"/>
      <c r="B35" s="155"/>
      <c r="C35" s="156"/>
      <c r="D35" s="273"/>
      <c r="E35" s="273"/>
      <c r="F35" s="274"/>
      <c r="G35" s="274"/>
      <c r="H35" s="273"/>
      <c r="I35" s="273"/>
      <c r="J35" s="273"/>
      <c r="K35" s="51"/>
    </row>
    <row r="36" spans="1:11">
      <c r="A36" s="153"/>
      <c r="B36" s="155"/>
      <c r="C36" s="156"/>
      <c r="D36" s="273"/>
      <c r="E36" s="273"/>
      <c r="F36" s="274"/>
      <c r="G36" s="274"/>
      <c r="H36" s="273"/>
      <c r="I36" s="273"/>
      <c r="J36" s="273"/>
      <c r="K36" s="51"/>
    </row>
    <row r="37" spans="1:11">
      <c r="A37" s="153"/>
      <c r="B37" s="155"/>
      <c r="C37" s="156"/>
      <c r="D37" s="273"/>
      <c r="E37" s="273"/>
      <c r="F37" s="274"/>
      <c r="G37" s="274"/>
      <c r="H37" s="273"/>
      <c r="I37" s="273"/>
      <c r="J37" s="273"/>
      <c r="K37" s="51"/>
    </row>
    <row r="38" spans="1:11">
      <c r="A38" s="153"/>
      <c r="B38" s="155"/>
      <c r="C38" s="156"/>
      <c r="D38" s="273"/>
      <c r="E38" s="273"/>
      <c r="F38" s="274"/>
      <c r="G38" s="274"/>
      <c r="H38" s="273"/>
      <c r="I38" s="273"/>
      <c r="J38" s="273"/>
      <c r="K38" s="51"/>
    </row>
    <row r="39" spans="1:11">
      <c r="A39" s="153"/>
      <c r="B39" s="155"/>
      <c r="C39" s="156"/>
      <c r="D39" s="273"/>
      <c r="E39" s="273"/>
      <c r="F39" s="274"/>
      <c r="G39" s="274"/>
      <c r="H39" s="273"/>
      <c r="I39" s="273"/>
      <c r="J39" s="273"/>
      <c r="K39" s="51"/>
    </row>
    <row r="40" spans="1:11">
      <c r="A40" s="153"/>
      <c r="B40" s="155"/>
      <c r="C40" s="156"/>
      <c r="D40" s="273"/>
      <c r="E40" s="273"/>
      <c r="F40" s="274"/>
      <c r="G40" s="274"/>
      <c r="H40" s="273"/>
      <c r="I40" s="273"/>
      <c r="J40" s="273"/>
      <c r="K40" s="51"/>
    </row>
    <row r="41" spans="1:11">
      <c r="A41" s="153"/>
      <c r="B41" s="155"/>
      <c r="C41" s="156"/>
      <c r="D41" s="153"/>
      <c r="E41" s="153"/>
      <c r="F41" s="158"/>
      <c r="G41" s="158"/>
      <c r="H41" s="153"/>
      <c r="I41" s="153"/>
      <c r="J41" s="153"/>
      <c r="K41" s="51"/>
    </row>
    <row r="42" spans="1:11">
      <c r="A42" s="153"/>
      <c r="B42" s="155"/>
      <c r="C42" s="156"/>
      <c r="D42" s="327"/>
      <c r="E42" s="327"/>
      <c r="F42" s="274"/>
      <c r="G42" s="274"/>
      <c r="H42" s="273"/>
      <c r="I42" s="273"/>
      <c r="J42" s="273"/>
      <c r="K42" s="51"/>
    </row>
    <row r="43" spans="1:11">
      <c r="A43" s="153"/>
      <c r="B43" s="155"/>
      <c r="C43" s="156"/>
      <c r="D43" s="327"/>
      <c r="E43" s="327"/>
      <c r="F43" s="274"/>
      <c r="G43" s="274"/>
      <c r="H43" s="273"/>
      <c r="I43" s="273"/>
      <c r="J43" s="273"/>
      <c r="K43" s="51"/>
    </row>
    <row r="44" spans="1:11">
      <c r="A44" s="153"/>
      <c r="B44" s="181"/>
      <c r="C44" s="159"/>
      <c r="D44" s="160"/>
      <c r="E44" s="160"/>
      <c r="F44" s="280">
        <f>SUM(F11:G43)</f>
        <v>123390</v>
      </c>
      <c r="G44" s="281"/>
      <c r="H44" s="95"/>
      <c r="I44" s="95"/>
      <c r="J44" s="95"/>
      <c r="K44" s="51"/>
    </row>
    <row r="45" spans="1:11">
      <c r="A45" s="153"/>
      <c r="B45" s="153"/>
      <c r="C45" s="96"/>
      <c r="D45" s="100"/>
      <c r="E45" s="161"/>
      <c r="F45" s="100"/>
      <c r="G45" s="100"/>
      <c r="H45" s="100"/>
      <c r="I45" s="96"/>
      <c r="J45" s="100"/>
      <c r="K45" s="51"/>
    </row>
    <row r="46" spans="1:11">
      <c r="A46" s="153"/>
      <c r="B46" s="153"/>
      <c r="C46" s="100"/>
      <c r="D46" s="289" t="s">
        <v>10</v>
      </c>
      <c r="E46" s="289"/>
      <c r="F46" s="100"/>
      <c r="G46" s="162">
        <f>F44/1000</f>
        <v>123.39</v>
      </c>
      <c r="H46" s="100"/>
      <c r="I46" s="96"/>
      <c r="J46" s="100"/>
      <c r="K46" s="51"/>
    </row>
    <row r="47" spans="1:11">
      <c r="A47" s="153"/>
      <c r="B47" s="153"/>
      <c r="C47" s="100"/>
      <c r="D47" s="100"/>
      <c r="E47" s="161"/>
      <c r="F47" s="100"/>
      <c r="G47" s="100"/>
      <c r="H47" s="100"/>
      <c r="I47" s="100"/>
      <c r="J47" s="100"/>
      <c r="K47" s="51"/>
    </row>
    <row r="48" spans="1:11">
      <c r="A48" s="153"/>
      <c r="B48" s="153"/>
      <c r="C48" s="100"/>
      <c r="D48" s="100"/>
      <c r="E48" s="100"/>
      <c r="F48" s="100"/>
      <c r="G48" s="100"/>
      <c r="H48" s="100"/>
      <c r="I48" s="100"/>
      <c r="J48" s="100"/>
      <c r="K48" s="51"/>
    </row>
    <row r="49" spans="1:11">
      <c r="A49" s="153"/>
      <c r="B49" s="153"/>
      <c r="C49" s="287" t="s">
        <v>11</v>
      </c>
      <c r="D49" s="287"/>
      <c r="E49" s="287" t="s">
        <v>12</v>
      </c>
      <c r="F49" s="287"/>
      <c r="G49" s="154" t="s">
        <v>13</v>
      </c>
      <c r="H49" s="154" t="s">
        <v>14</v>
      </c>
      <c r="I49" s="100"/>
      <c r="J49" s="100"/>
      <c r="K49" s="51"/>
    </row>
    <row r="50" spans="1:11">
      <c r="A50" s="153"/>
      <c r="B50" s="153"/>
      <c r="C50" s="273" t="s">
        <v>15</v>
      </c>
      <c r="D50" s="273"/>
      <c r="E50" s="328">
        <f>F11+F12+F13+F14</f>
        <v>123390</v>
      </c>
      <c r="F50" s="328"/>
      <c r="G50" s="163">
        <f>E50/F44</f>
        <v>1</v>
      </c>
      <c r="H50" s="164">
        <v>4</v>
      </c>
      <c r="I50" s="100"/>
      <c r="J50" s="100"/>
      <c r="K50" s="51"/>
    </row>
    <row r="51" spans="1:11">
      <c r="A51" s="153"/>
      <c r="B51" s="153"/>
      <c r="C51" s="273" t="s">
        <v>16</v>
      </c>
      <c r="D51" s="273"/>
      <c r="E51" s="328"/>
      <c r="F51" s="328"/>
      <c r="G51" s="163">
        <f>E51/F44</f>
        <v>0</v>
      </c>
      <c r="H51" s="273"/>
      <c r="I51" s="273"/>
      <c r="J51" s="100"/>
      <c r="K51" s="51"/>
    </row>
    <row r="52" spans="1:11">
      <c r="A52" s="153"/>
      <c r="B52" s="153"/>
      <c r="C52" s="273" t="s">
        <v>17</v>
      </c>
      <c r="D52" s="273"/>
      <c r="E52" s="328"/>
      <c r="F52" s="328"/>
      <c r="G52" s="163">
        <f>E52/F44</f>
        <v>0</v>
      </c>
      <c r="H52" s="164"/>
      <c r="I52" s="100"/>
      <c r="J52" s="100"/>
      <c r="K52" s="51"/>
    </row>
    <row r="53" spans="1:11">
      <c r="A53" s="153"/>
      <c r="B53" s="153"/>
      <c r="C53" s="273" t="s">
        <v>18</v>
      </c>
      <c r="D53" s="273"/>
      <c r="E53" s="274"/>
      <c r="F53" s="274"/>
      <c r="G53" s="163">
        <f>E53/F44</f>
        <v>0</v>
      </c>
      <c r="H53" s="164"/>
      <c r="I53" s="100"/>
      <c r="J53" s="100"/>
      <c r="K53" s="51"/>
    </row>
    <row r="54" spans="1:11">
      <c r="A54" s="153"/>
      <c r="B54" s="153"/>
      <c r="C54" s="273" t="s">
        <v>19</v>
      </c>
      <c r="D54" s="273"/>
      <c r="E54" s="288"/>
      <c r="F54" s="288"/>
      <c r="G54" s="163">
        <f>E54/F44</f>
        <v>0</v>
      </c>
      <c r="H54" s="164"/>
      <c r="I54" s="100"/>
      <c r="J54" s="100"/>
      <c r="K54" s="51"/>
    </row>
    <row r="55" spans="1:11">
      <c r="A55" s="153"/>
      <c r="B55" s="153"/>
      <c r="C55" s="165"/>
      <c r="D55" s="166" t="s">
        <v>20</v>
      </c>
      <c r="E55" s="329">
        <f>SUM(E50:F54)</f>
        <v>123390</v>
      </c>
      <c r="F55" s="329"/>
      <c r="G55" s="167">
        <f>SUM(G50:G54)</f>
        <v>1</v>
      </c>
      <c r="H55" s="168">
        <f>SUM(H50:H54)</f>
        <v>4</v>
      </c>
      <c r="I55" s="100"/>
      <c r="J55" s="100"/>
      <c r="K55" s="51"/>
    </row>
    <row r="56" spans="1:11">
      <c r="A56" s="153"/>
      <c r="B56" s="153"/>
      <c r="C56" s="169"/>
      <c r="D56" s="169"/>
      <c r="E56" s="160"/>
      <c r="F56" s="160"/>
      <c r="G56" s="160"/>
      <c r="H56" s="100"/>
      <c r="I56" s="100"/>
      <c r="J56" s="100"/>
      <c r="K56" s="51"/>
    </row>
    <row r="57" spans="1:11">
      <c r="A57" s="153"/>
      <c r="B57" s="153"/>
      <c r="C57" s="170"/>
      <c r="D57" s="100"/>
      <c r="E57" s="96"/>
      <c r="F57" s="171"/>
      <c r="G57" s="172"/>
      <c r="H57" s="100"/>
      <c r="I57" s="100"/>
      <c r="J57" s="100"/>
      <c r="K57" s="51"/>
    </row>
    <row r="58" spans="1:11">
      <c r="A58" s="153"/>
      <c r="B58" s="153"/>
      <c r="C58" s="283" t="s">
        <v>7</v>
      </c>
      <c r="D58" s="284"/>
      <c r="E58" s="285"/>
      <c r="F58" s="286" t="s">
        <v>6</v>
      </c>
      <c r="G58" s="287"/>
      <c r="H58" s="154" t="s">
        <v>13</v>
      </c>
      <c r="I58" s="100"/>
      <c r="J58" s="100"/>
      <c r="K58" s="51"/>
    </row>
    <row r="59" spans="1:11">
      <c r="A59" s="153"/>
      <c r="B59" s="153"/>
      <c r="C59" s="273" t="s">
        <v>21</v>
      </c>
      <c r="D59" s="273"/>
      <c r="E59" s="273"/>
      <c r="F59" s="282"/>
      <c r="G59" s="282"/>
      <c r="H59" s="163">
        <f>F59/F61</f>
        <v>0</v>
      </c>
      <c r="I59" s="100"/>
      <c r="J59" s="100"/>
      <c r="K59" s="51"/>
    </row>
    <row r="60" spans="1:11">
      <c r="A60" s="153"/>
      <c r="B60" s="153"/>
      <c r="C60" s="273" t="s">
        <v>22</v>
      </c>
      <c r="D60" s="273"/>
      <c r="E60" s="273"/>
      <c r="F60" s="274">
        <f>F44</f>
        <v>123390</v>
      </c>
      <c r="G60" s="274"/>
      <c r="H60" s="163">
        <f>F60/F61</f>
        <v>1</v>
      </c>
      <c r="I60" s="100"/>
      <c r="J60" s="100"/>
      <c r="K60" s="51"/>
    </row>
    <row r="61" spans="1:11">
      <c r="A61" s="153"/>
      <c r="B61" s="153"/>
      <c r="C61" s="100"/>
      <c r="D61" s="100" t="s">
        <v>20</v>
      </c>
      <c r="E61" s="100"/>
      <c r="F61" s="278">
        <f>SUM(F59:G60)</f>
        <v>123390</v>
      </c>
      <c r="G61" s="278"/>
      <c r="H61" s="167">
        <f>SUM(H59:H60)</f>
        <v>1</v>
      </c>
      <c r="I61" s="100"/>
      <c r="J61" s="100"/>
      <c r="K61" s="51"/>
    </row>
    <row r="62" spans="1:11">
      <c r="A62" s="153"/>
      <c r="B62" s="153"/>
      <c r="C62" s="100"/>
      <c r="D62" s="51"/>
      <c r="E62" s="51"/>
      <c r="F62" s="51"/>
      <c r="G62" s="51"/>
      <c r="H62" s="173"/>
      <c r="I62" s="100"/>
      <c r="J62" s="100"/>
      <c r="K62" s="51"/>
    </row>
    <row r="63" spans="1:11">
      <c r="A63" s="153"/>
      <c r="B63" s="153"/>
      <c r="C63" s="100"/>
      <c r="D63" s="51"/>
      <c r="E63" s="279" t="s">
        <v>23</v>
      </c>
      <c r="F63" s="279"/>
      <c r="G63" s="279"/>
      <c r="H63" s="279"/>
      <c r="I63" s="100"/>
      <c r="J63" s="100"/>
      <c r="K63" s="51"/>
    </row>
    <row r="64" spans="1:11">
      <c r="A64" s="153"/>
      <c r="B64" s="153"/>
      <c r="C64" s="100"/>
      <c r="D64" s="174"/>
      <c r="E64" s="100"/>
      <c r="F64" s="100"/>
      <c r="G64" s="100"/>
      <c r="H64" s="100"/>
      <c r="I64" s="100"/>
      <c r="J64" s="100"/>
      <c r="K64" s="51"/>
    </row>
    <row r="65" spans="1:11">
      <c r="A65" s="100"/>
      <c r="B65" s="100"/>
      <c r="C65" s="100"/>
      <c r="D65" s="175" t="s">
        <v>24</v>
      </c>
      <c r="E65" s="276" t="s">
        <v>25</v>
      </c>
      <c r="F65" s="277"/>
      <c r="G65" s="276" t="s">
        <v>26</v>
      </c>
      <c r="H65" s="277"/>
      <c r="I65" s="100"/>
      <c r="J65" s="100"/>
      <c r="K65" s="51"/>
    </row>
    <row r="66" spans="1:11">
      <c r="A66" s="100"/>
      <c r="B66" s="100"/>
      <c r="C66" s="100"/>
      <c r="D66" s="176" t="s">
        <v>27</v>
      </c>
      <c r="E66" s="177" t="s">
        <v>28</v>
      </c>
      <c r="F66" s="177" t="s">
        <v>29</v>
      </c>
      <c r="G66" s="177" t="s">
        <v>28</v>
      </c>
      <c r="H66" s="177" t="s">
        <v>29</v>
      </c>
      <c r="I66" s="100"/>
      <c r="J66" s="100"/>
      <c r="K66" s="51"/>
    </row>
    <row r="67" spans="1:11">
      <c r="A67" s="100"/>
      <c r="B67" s="100"/>
      <c r="C67" s="100"/>
      <c r="D67" s="178" t="s">
        <v>30</v>
      </c>
      <c r="E67" s="66">
        <f>Comparativo!$AY$13</f>
        <v>559.32000000000005</v>
      </c>
      <c r="F67" s="69">
        <f>Comparativo!$AZ$13</f>
        <v>15</v>
      </c>
      <c r="G67" s="66">
        <f>$G$46</f>
        <v>123.39</v>
      </c>
      <c r="H67" s="69">
        <f>$H$55</f>
        <v>4</v>
      </c>
      <c r="I67" s="100"/>
      <c r="J67" s="100"/>
      <c r="K67" s="51"/>
    </row>
    <row r="68" spans="1:11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51"/>
    </row>
    <row r="69" spans="1:11">
      <c r="A69" s="100"/>
      <c r="B69" s="100"/>
      <c r="C69" s="100"/>
      <c r="D69" s="100"/>
      <c r="E69" s="179">
        <f>SUM(E67:E68)</f>
        <v>559.32000000000005</v>
      </c>
      <c r="F69" s="180">
        <f>SUM(F67:F68)</f>
        <v>15</v>
      </c>
      <c r="G69" s="179">
        <f>SUM(G67:G68)</f>
        <v>123.39</v>
      </c>
      <c r="H69" s="180">
        <f>SUM(H67:H68)</f>
        <v>4</v>
      </c>
      <c r="I69" s="100"/>
      <c r="J69" s="100"/>
      <c r="K69" s="51"/>
    </row>
    <row r="70" spans="1:11">
      <c r="A70" s="100"/>
      <c r="B70" s="100"/>
      <c r="C70" s="100"/>
      <c r="D70" s="100"/>
      <c r="E70" s="100"/>
      <c r="F70" s="100"/>
      <c r="G70" s="100"/>
      <c r="H70" s="100"/>
      <c r="I70" s="100"/>
      <c r="J70" s="100"/>
    </row>
    <row r="71" spans="1:11">
      <c r="A71" s="100"/>
      <c r="B71" s="100"/>
      <c r="C71" s="100"/>
      <c r="D71" s="100"/>
      <c r="E71" s="100"/>
      <c r="F71" s="100"/>
      <c r="G71" s="100"/>
      <c r="H71" s="100"/>
      <c r="I71" s="100"/>
      <c r="J71" s="100"/>
    </row>
    <row r="72" spans="1:11">
      <c r="A72" s="51"/>
      <c r="B72" s="51"/>
      <c r="C72" s="51"/>
      <c r="D72" s="51"/>
      <c r="E72" s="51"/>
      <c r="F72" s="51"/>
      <c r="G72" s="51"/>
      <c r="H72" s="51"/>
      <c r="I72" s="51"/>
      <c r="J72" s="51"/>
    </row>
    <row r="73" spans="1:11">
      <c r="A73" s="51"/>
      <c r="B73" s="51"/>
      <c r="C73" s="51"/>
      <c r="D73" s="51"/>
      <c r="E73" s="51"/>
      <c r="F73" s="51"/>
      <c r="G73" s="51"/>
      <c r="H73" s="51"/>
      <c r="I73" s="51"/>
      <c r="J73" s="51"/>
    </row>
    <row r="74" spans="1:11">
      <c r="A74" s="51"/>
      <c r="B74" s="51"/>
      <c r="C74" s="51"/>
      <c r="D74" s="51"/>
      <c r="E74" s="51"/>
      <c r="F74" s="51"/>
      <c r="G74" s="51"/>
      <c r="H74" s="51"/>
      <c r="I74" s="51"/>
      <c r="J74" s="51"/>
    </row>
    <row r="75" spans="1:11">
      <c r="A75" s="51"/>
      <c r="B75" s="51"/>
      <c r="C75" s="51"/>
      <c r="D75" s="51"/>
      <c r="E75" s="51"/>
      <c r="F75" s="51"/>
      <c r="G75" s="51"/>
      <c r="H75" s="51"/>
      <c r="I75" s="51"/>
      <c r="J75" s="51"/>
    </row>
    <row r="76" spans="1:11">
      <c r="A76" s="51"/>
      <c r="B76" s="51"/>
      <c r="C76" s="51"/>
      <c r="D76" s="51"/>
      <c r="E76" s="51"/>
      <c r="F76" s="51"/>
      <c r="G76" s="51"/>
      <c r="H76" s="51"/>
      <c r="I76" s="51"/>
      <c r="J76" s="51"/>
    </row>
    <row r="77" spans="1:11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>
      <c r="A81" s="51"/>
      <c r="B81" s="51"/>
      <c r="C81" s="51"/>
      <c r="D81" s="51"/>
      <c r="E81" s="51"/>
      <c r="F81" s="51"/>
      <c r="G81" s="51"/>
      <c r="H81" s="51"/>
      <c r="I81" s="51"/>
      <c r="J81" s="51"/>
    </row>
    <row r="82" spans="1:10">
      <c r="A82" s="51"/>
      <c r="B82" s="51"/>
      <c r="C82" s="51"/>
      <c r="D82" s="51"/>
      <c r="E82" s="51"/>
      <c r="F82" s="51"/>
      <c r="G82" s="70"/>
      <c r="H82" s="51"/>
      <c r="I82" s="51"/>
      <c r="J82" s="51"/>
    </row>
    <row r="83" spans="1:10">
      <c r="A83" s="51"/>
      <c r="B83" s="51"/>
      <c r="C83" s="51"/>
      <c r="D83" s="51"/>
      <c r="E83" s="51"/>
      <c r="F83" s="51"/>
      <c r="G83" s="51"/>
      <c r="H83" s="51"/>
      <c r="I83" s="51"/>
      <c r="J83" s="51"/>
    </row>
  </sheetData>
  <mergeCells count="121">
    <mergeCell ref="H10:J10"/>
    <mergeCell ref="D11:E11"/>
    <mergeCell ref="D16:E16"/>
    <mergeCell ref="F12:G12"/>
    <mergeCell ref="F11:G11"/>
    <mergeCell ref="F13:G13"/>
    <mergeCell ref="C51:D51"/>
    <mergeCell ref="E51:F51"/>
    <mergeCell ref="C49:D49"/>
    <mergeCell ref="D12:E12"/>
    <mergeCell ref="D13:E13"/>
    <mergeCell ref="D14:E14"/>
    <mergeCell ref="D15:E15"/>
    <mergeCell ref="D17:E17"/>
    <mergeCell ref="D18:E18"/>
    <mergeCell ref="D38:E38"/>
    <mergeCell ref="F42:G42"/>
    <mergeCell ref="D40:E40"/>
    <mergeCell ref="F40:G40"/>
    <mergeCell ref="D32:E32"/>
    <mergeCell ref="D33:E33"/>
    <mergeCell ref="D36:E36"/>
    <mergeCell ref="F32:G32"/>
    <mergeCell ref="D10:E10"/>
    <mergeCell ref="F10:G10"/>
    <mergeCell ref="F38:G38"/>
    <mergeCell ref="D46:E46"/>
    <mergeCell ref="D42:E42"/>
    <mergeCell ref="D20:E20"/>
    <mergeCell ref="D19:E19"/>
    <mergeCell ref="F20:G20"/>
    <mergeCell ref="F43:G43"/>
    <mergeCell ref="D28:E28"/>
    <mergeCell ref="D27:E27"/>
    <mergeCell ref="F27:G27"/>
    <mergeCell ref="D37:E37"/>
    <mergeCell ref="D21:E21"/>
    <mergeCell ref="D25:E25"/>
    <mergeCell ref="D24:E24"/>
    <mergeCell ref="D26:E26"/>
    <mergeCell ref="D23:E23"/>
    <mergeCell ref="D29:E29"/>
    <mergeCell ref="F29:G29"/>
    <mergeCell ref="F33:G33"/>
    <mergeCell ref="H19:J19"/>
    <mergeCell ref="H20:J20"/>
    <mergeCell ref="H42:J42"/>
    <mergeCell ref="F31:G31"/>
    <mergeCell ref="H32:J32"/>
    <mergeCell ref="H33:J33"/>
    <mergeCell ref="H36:J36"/>
    <mergeCell ref="F37:G37"/>
    <mergeCell ref="H37:J37"/>
    <mergeCell ref="H30:J30"/>
    <mergeCell ref="H27:J27"/>
    <mergeCell ref="H28:J28"/>
    <mergeCell ref="F28:G28"/>
    <mergeCell ref="H35:J35"/>
    <mergeCell ref="H38:J38"/>
    <mergeCell ref="F36:G36"/>
    <mergeCell ref="F39:G39"/>
    <mergeCell ref="H39:J39"/>
    <mergeCell ref="H24:J24"/>
    <mergeCell ref="H25:J25"/>
    <mergeCell ref="C58:E58"/>
    <mergeCell ref="F58:G58"/>
    <mergeCell ref="E49:F49"/>
    <mergeCell ref="E50:F50"/>
    <mergeCell ref="E55:F55"/>
    <mergeCell ref="C54:D54"/>
    <mergeCell ref="E54:F54"/>
    <mergeCell ref="H51:I51"/>
    <mergeCell ref="D30:E30"/>
    <mergeCell ref="E65:F65"/>
    <mergeCell ref="G65:H65"/>
    <mergeCell ref="F61:G61"/>
    <mergeCell ref="H16:J16"/>
    <mergeCell ref="H17:J17"/>
    <mergeCell ref="D31:E31"/>
    <mergeCell ref="F23:G23"/>
    <mergeCell ref="E63:H63"/>
    <mergeCell ref="F60:G60"/>
    <mergeCell ref="C52:D52"/>
    <mergeCell ref="E52:F52"/>
    <mergeCell ref="C50:D50"/>
    <mergeCell ref="H43:J43"/>
    <mergeCell ref="D43:E43"/>
    <mergeCell ref="C59:E59"/>
    <mergeCell ref="E53:F53"/>
    <mergeCell ref="F44:G44"/>
    <mergeCell ref="H40:J40"/>
    <mergeCell ref="D39:E39"/>
    <mergeCell ref="C60:E60"/>
    <mergeCell ref="F59:G59"/>
    <mergeCell ref="C53:D53"/>
    <mergeCell ref="H26:J26"/>
    <mergeCell ref="H23:J23"/>
    <mergeCell ref="E7:H7"/>
    <mergeCell ref="D35:E35"/>
    <mergeCell ref="F35:G35"/>
    <mergeCell ref="H34:J34"/>
    <mergeCell ref="H18:J18"/>
    <mergeCell ref="F14:G14"/>
    <mergeCell ref="F15:G15"/>
    <mergeCell ref="F16:G16"/>
    <mergeCell ref="F17:G17"/>
    <mergeCell ref="F18:G18"/>
    <mergeCell ref="F24:G24"/>
    <mergeCell ref="F25:G25"/>
    <mergeCell ref="F19:G19"/>
    <mergeCell ref="F26:G26"/>
    <mergeCell ref="H21:J21"/>
    <mergeCell ref="F21:G21"/>
    <mergeCell ref="H31:J31"/>
    <mergeCell ref="F30:G30"/>
    <mergeCell ref="D34:E34"/>
    <mergeCell ref="F34:G34"/>
    <mergeCell ref="H29:J29"/>
    <mergeCell ref="D22:E22"/>
    <mergeCell ref="F22:G22"/>
    <mergeCell ref="H22:J22"/>
  </mergeCells>
  <phoneticPr fontId="0" type="noConversion"/>
  <pageMargins left="0.59055118110236227" right="0.75" top="1" bottom="1" header="0" footer="0"/>
  <pageSetup paperSize="9" scale="73" orientation="portrait" horizontalDpi="4294967293" verticalDpi="300" r:id="rId1"/>
  <headerFooter alignWithMargins="0"/>
  <colBreaks count="1" manualBreakCount="1">
    <brk id="10" max="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8"/>
  <sheetViews>
    <sheetView showGridLines="0" topLeftCell="A12" zoomScaleNormal="100" workbookViewId="0">
      <selection activeCell="H11" sqref="H11:H14"/>
    </sheetView>
  </sheetViews>
  <sheetFormatPr defaultColWidth="9.140625" defaultRowHeight="12.75"/>
  <cols>
    <col min="1" max="2" width="4.28515625" style="53" customWidth="1"/>
    <col min="3" max="10" width="12.42578125" style="53" customWidth="1"/>
    <col min="11" max="256" width="11.42578125" style="53" customWidth="1"/>
    <col min="257" max="16384" width="9.140625" style="53"/>
  </cols>
  <sheetData>
    <row r="1" spans="1:11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>
      <c r="A3" s="55"/>
      <c r="B3" s="55"/>
      <c r="C3" s="51"/>
      <c r="D3" s="51"/>
      <c r="E3" s="51"/>
      <c r="F3" s="51"/>
      <c r="G3" s="51"/>
      <c r="H3" s="51"/>
      <c r="I3" s="51"/>
      <c r="J3" s="51"/>
      <c r="K3" s="51"/>
    </row>
    <row r="4" spans="1:11">
      <c r="A4" s="48"/>
      <c r="B4" s="48"/>
      <c r="C4" s="51"/>
      <c r="D4" s="51"/>
      <c r="E4" s="51"/>
      <c r="F4" s="51"/>
      <c r="G4" s="51"/>
      <c r="H4" s="51"/>
      <c r="I4" s="51"/>
      <c r="J4" s="51"/>
      <c r="K4" s="51"/>
    </row>
    <row r="5" spans="1:11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>
      <c r="A7" s="48"/>
      <c r="B7" s="48"/>
      <c r="C7" s="51"/>
      <c r="D7" s="51"/>
      <c r="E7" s="272" t="s">
        <v>1</v>
      </c>
      <c r="F7" s="272"/>
      <c r="G7" s="272"/>
      <c r="H7" s="272"/>
      <c r="I7" s="186" t="s">
        <v>31</v>
      </c>
      <c r="J7" s="187">
        <f>CARÁT!$F$16</f>
        <v>2023</v>
      </c>
      <c r="K7" s="51"/>
    </row>
    <row r="8" spans="1:11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51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51"/>
    </row>
    <row r="11" spans="1:11">
      <c r="A11" s="153"/>
      <c r="B11" s="155">
        <v>8</v>
      </c>
      <c r="C11" s="156">
        <v>44964</v>
      </c>
      <c r="D11" s="326" t="s">
        <v>8</v>
      </c>
      <c r="E11" s="326"/>
      <c r="F11" s="275">
        <v>40680</v>
      </c>
      <c r="G11" s="275"/>
      <c r="H11" s="157" t="s">
        <v>9</v>
      </c>
      <c r="I11" s="157"/>
      <c r="J11" s="157"/>
      <c r="K11" s="51"/>
    </row>
    <row r="12" spans="1:11">
      <c r="A12" s="153"/>
      <c r="B12" s="95">
        <v>9</v>
      </c>
      <c r="C12" s="156">
        <v>44965</v>
      </c>
      <c r="D12" s="327" t="s">
        <v>32</v>
      </c>
      <c r="E12" s="327"/>
      <c r="F12" s="275">
        <v>46110</v>
      </c>
      <c r="G12" s="275"/>
      <c r="H12" s="157" t="s">
        <v>9</v>
      </c>
      <c r="I12" s="157"/>
      <c r="J12" s="157"/>
      <c r="K12" s="51"/>
    </row>
    <row r="13" spans="1:11">
      <c r="A13" s="153"/>
      <c r="B13" s="95">
        <v>10</v>
      </c>
      <c r="C13" s="156">
        <v>44969</v>
      </c>
      <c r="D13" s="327" t="s">
        <v>8</v>
      </c>
      <c r="E13" s="327"/>
      <c r="F13" s="275">
        <v>30120</v>
      </c>
      <c r="G13" s="275"/>
      <c r="H13" s="157" t="s">
        <v>9</v>
      </c>
      <c r="I13" s="157"/>
      <c r="J13" s="157"/>
      <c r="K13" s="51"/>
    </row>
    <row r="14" spans="1:11">
      <c r="A14" s="153"/>
      <c r="B14" s="95">
        <v>11</v>
      </c>
      <c r="C14" s="156">
        <v>44971</v>
      </c>
      <c r="D14" s="327" t="s">
        <v>32</v>
      </c>
      <c r="E14" s="327"/>
      <c r="F14" s="275">
        <v>19620</v>
      </c>
      <c r="G14" s="275"/>
      <c r="H14" s="157" t="s">
        <v>9</v>
      </c>
      <c r="I14" s="157"/>
      <c r="J14" s="157"/>
      <c r="K14" s="51"/>
    </row>
    <row r="15" spans="1:11">
      <c r="A15" s="153"/>
      <c r="B15" s="95">
        <v>12</v>
      </c>
      <c r="C15" s="156">
        <v>44977</v>
      </c>
      <c r="D15" s="327" t="s">
        <v>32</v>
      </c>
      <c r="E15" s="327"/>
      <c r="F15" s="275">
        <v>21300</v>
      </c>
      <c r="G15" s="275"/>
      <c r="H15" s="157" t="s">
        <v>9</v>
      </c>
      <c r="I15" s="157"/>
      <c r="J15" s="157"/>
      <c r="K15" s="51"/>
    </row>
    <row r="16" spans="1:11">
      <c r="A16" s="153"/>
      <c r="B16" s="95">
        <v>13</v>
      </c>
      <c r="C16" s="156">
        <v>44981</v>
      </c>
      <c r="D16" s="327" t="s">
        <v>8</v>
      </c>
      <c r="E16" s="327"/>
      <c r="F16" s="275">
        <v>18960</v>
      </c>
      <c r="G16" s="275"/>
      <c r="H16" s="157" t="s">
        <v>9</v>
      </c>
      <c r="I16" s="157"/>
      <c r="J16" s="157"/>
      <c r="K16" s="51"/>
    </row>
    <row r="17" spans="1:11">
      <c r="A17" s="153"/>
      <c r="B17" s="95"/>
      <c r="C17" s="156"/>
      <c r="D17" s="327"/>
      <c r="E17" s="327"/>
      <c r="F17" s="275"/>
      <c r="G17" s="275"/>
      <c r="H17" s="157"/>
      <c r="I17" s="157"/>
      <c r="J17" s="157"/>
      <c r="K17" s="51"/>
    </row>
    <row r="18" spans="1:11">
      <c r="A18" s="153"/>
      <c r="B18" s="153"/>
      <c r="C18" s="156"/>
      <c r="D18" s="327"/>
      <c r="E18" s="327"/>
      <c r="F18" s="275"/>
      <c r="G18" s="275"/>
      <c r="H18" s="273"/>
      <c r="I18" s="273"/>
      <c r="J18" s="273"/>
      <c r="K18" s="51"/>
    </row>
    <row r="19" spans="1:11">
      <c r="A19" s="153"/>
      <c r="B19" s="153"/>
      <c r="C19" s="156"/>
      <c r="D19" s="327"/>
      <c r="E19" s="327"/>
      <c r="F19" s="275"/>
      <c r="G19" s="275"/>
      <c r="H19" s="273"/>
      <c r="I19" s="273"/>
      <c r="J19" s="273"/>
      <c r="K19" s="51"/>
    </row>
    <row r="20" spans="1:11">
      <c r="A20" s="153"/>
      <c r="B20" s="153"/>
      <c r="C20" s="156"/>
      <c r="D20" s="327"/>
      <c r="E20" s="327"/>
      <c r="F20" s="275"/>
      <c r="G20" s="275"/>
      <c r="H20" s="273"/>
      <c r="I20" s="273"/>
      <c r="J20" s="273"/>
      <c r="K20" s="51"/>
    </row>
    <row r="21" spans="1:11">
      <c r="A21" s="153"/>
      <c r="B21" s="153"/>
      <c r="C21" s="156"/>
      <c r="D21" s="327"/>
      <c r="E21" s="327"/>
      <c r="F21" s="275"/>
      <c r="G21" s="275"/>
      <c r="H21" s="273"/>
      <c r="I21" s="273"/>
      <c r="J21" s="273"/>
      <c r="K21" s="51"/>
    </row>
    <row r="22" spans="1:11">
      <c r="A22" s="153"/>
      <c r="B22" s="153"/>
      <c r="C22" s="156"/>
      <c r="D22" s="327"/>
      <c r="E22" s="327"/>
      <c r="F22" s="275"/>
      <c r="G22" s="275"/>
      <c r="H22" s="273"/>
      <c r="I22" s="273"/>
      <c r="J22" s="273"/>
      <c r="K22" s="51"/>
    </row>
    <row r="23" spans="1:11">
      <c r="A23" s="153"/>
      <c r="B23" s="153"/>
      <c r="C23" s="156"/>
      <c r="D23" s="327"/>
      <c r="E23" s="327"/>
      <c r="F23" s="275"/>
      <c r="G23" s="275"/>
      <c r="H23" s="273"/>
      <c r="I23" s="273"/>
      <c r="J23" s="273"/>
      <c r="K23" s="51"/>
    </row>
    <row r="24" spans="1:11">
      <c r="A24" s="153"/>
      <c r="B24" s="153"/>
      <c r="C24" s="156"/>
      <c r="D24" s="327"/>
      <c r="E24" s="327"/>
      <c r="F24" s="275"/>
      <c r="G24" s="275"/>
      <c r="H24" s="273"/>
      <c r="I24" s="273"/>
      <c r="J24" s="273"/>
      <c r="K24" s="51"/>
    </row>
    <row r="25" spans="1:11">
      <c r="A25" s="153"/>
      <c r="B25" s="153"/>
      <c r="C25" s="156"/>
      <c r="D25" s="327"/>
      <c r="E25" s="327"/>
      <c r="F25" s="275"/>
      <c r="G25" s="275"/>
      <c r="H25" s="273"/>
      <c r="I25" s="273"/>
      <c r="J25" s="273"/>
      <c r="K25" s="51"/>
    </row>
    <row r="26" spans="1:11">
      <c r="A26" s="153"/>
      <c r="B26" s="153"/>
      <c r="C26" s="156"/>
      <c r="D26" s="327"/>
      <c r="E26" s="327"/>
      <c r="F26" s="275"/>
      <c r="G26" s="275"/>
      <c r="H26" s="273"/>
      <c r="I26" s="273"/>
      <c r="J26" s="273"/>
      <c r="K26" s="51"/>
    </row>
    <row r="27" spans="1:11">
      <c r="A27" s="153"/>
      <c r="B27" s="153"/>
      <c r="C27" s="156"/>
      <c r="D27" s="327"/>
      <c r="E27" s="327"/>
      <c r="F27" s="275"/>
      <c r="G27" s="275"/>
      <c r="H27" s="273"/>
      <c r="I27" s="273"/>
      <c r="J27" s="273"/>
      <c r="K27" s="51"/>
    </row>
    <row r="28" spans="1:11">
      <c r="A28" s="153"/>
      <c r="B28" s="153"/>
      <c r="C28" s="156"/>
      <c r="D28" s="327"/>
      <c r="E28" s="327"/>
      <c r="F28" s="275"/>
      <c r="G28" s="275"/>
      <c r="H28" s="273"/>
      <c r="I28" s="273"/>
      <c r="J28" s="273"/>
      <c r="K28" s="51"/>
    </row>
    <row r="29" spans="1:11">
      <c r="A29" s="153"/>
      <c r="B29" s="153"/>
      <c r="C29" s="156"/>
      <c r="D29" s="327"/>
      <c r="E29" s="327"/>
      <c r="F29" s="275"/>
      <c r="G29" s="275"/>
      <c r="H29" s="273"/>
      <c r="I29" s="273"/>
      <c r="J29" s="273"/>
      <c r="K29" s="51"/>
    </row>
    <row r="30" spans="1:11">
      <c r="A30" s="153"/>
      <c r="B30" s="153"/>
      <c r="C30" s="156"/>
      <c r="D30" s="327"/>
      <c r="E30" s="327"/>
      <c r="F30" s="274"/>
      <c r="G30" s="274"/>
      <c r="H30" s="273"/>
      <c r="I30" s="273"/>
      <c r="J30" s="273"/>
      <c r="K30" s="51"/>
    </row>
    <row r="31" spans="1:11">
      <c r="A31" s="153"/>
      <c r="B31" s="153"/>
      <c r="C31" s="156"/>
      <c r="D31" s="327"/>
      <c r="E31" s="327"/>
      <c r="F31" s="274"/>
      <c r="G31" s="274"/>
      <c r="H31" s="273"/>
      <c r="I31" s="273"/>
      <c r="J31" s="273"/>
      <c r="K31" s="51"/>
    </row>
    <row r="32" spans="1:11">
      <c r="A32" s="153"/>
      <c r="B32" s="153"/>
      <c r="C32" s="156"/>
      <c r="D32" s="327"/>
      <c r="E32" s="327"/>
      <c r="F32" s="274"/>
      <c r="G32" s="274"/>
      <c r="H32" s="273"/>
      <c r="I32" s="273"/>
      <c r="J32" s="273"/>
      <c r="K32" s="51"/>
    </row>
    <row r="33" spans="1:11">
      <c r="A33" s="153"/>
      <c r="B33" s="153"/>
      <c r="C33" s="156"/>
      <c r="D33" s="327"/>
      <c r="E33" s="327"/>
      <c r="F33" s="274"/>
      <c r="G33" s="274"/>
      <c r="H33" s="273"/>
      <c r="I33" s="273"/>
      <c r="J33" s="273"/>
      <c r="K33" s="51"/>
    </row>
    <row r="34" spans="1:11">
      <c r="A34" s="153"/>
      <c r="B34" s="153"/>
      <c r="C34" s="156"/>
      <c r="D34" s="330"/>
      <c r="E34" s="327"/>
      <c r="F34" s="274"/>
      <c r="G34" s="274"/>
      <c r="H34" s="273"/>
      <c r="I34" s="273"/>
      <c r="J34" s="273"/>
      <c r="K34" s="51"/>
    </row>
    <row r="35" spans="1:11">
      <c r="A35" s="153"/>
      <c r="B35" s="153"/>
      <c r="C35" s="156"/>
      <c r="D35" s="273"/>
      <c r="E35" s="273"/>
      <c r="F35" s="274"/>
      <c r="G35" s="274"/>
      <c r="H35" s="273"/>
      <c r="I35" s="273"/>
      <c r="J35" s="273"/>
      <c r="K35" s="51"/>
    </row>
    <row r="36" spans="1:11">
      <c r="A36" s="153"/>
      <c r="B36" s="153"/>
      <c r="C36" s="156"/>
      <c r="D36" s="273"/>
      <c r="E36" s="273"/>
      <c r="F36" s="274"/>
      <c r="G36" s="274"/>
      <c r="H36" s="153"/>
      <c r="I36" s="153"/>
      <c r="J36" s="153"/>
      <c r="K36" s="51"/>
    </row>
    <row r="37" spans="1:11">
      <c r="A37" s="153"/>
      <c r="B37" s="153"/>
      <c r="C37" s="156"/>
      <c r="D37" s="273"/>
      <c r="E37" s="273"/>
      <c r="F37" s="291"/>
      <c r="G37" s="291"/>
      <c r="H37" s="273"/>
      <c r="I37" s="273"/>
      <c r="J37" s="273"/>
      <c r="K37" s="51"/>
    </row>
    <row r="38" spans="1:11">
      <c r="A38" s="153"/>
      <c r="B38" s="153"/>
      <c r="C38" s="156"/>
      <c r="D38" s="273"/>
      <c r="E38" s="273"/>
      <c r="F38" s="291"/>
      <c r="G38" s="291"/>
      <c r="H38" s="273"/>
      <c r="I38" s="273"/>
      <c r="J38" s="273"/>
      <c r="K38" s="51"/>
    </row>
    <row r="39" spans="1:11">
      <c r="A39" s="153"/>
      <c r="B39" s="153"/>
      <c r="C39" s="156"/>
      <c r="D39" s="273"/>
      <c r="E39" s="273"/>
      <c r="F39" s="291"/>
      <c r="G39" s="291"/>
      <c r="H39" s="273"/>
      <c r="I39" s="273"/>
      <c r="J39" s="273"/>
      <c r="K39" s="51"/>
    </row>
    <row r="40" spans="1:11">
      <c r="A40" s="153"/>
      <c r="B40" s="153"/>
      <c r="C40" s="156"/>
      <c r="D40" s="273"/>
      <c r="E40" s="273"/>
      <c r="F40" s="291"/>
      <c r="G40" s="291"/>
      <c r="H40" s="273"/>
      <c r="I40" s="273"/>
      <c r="J40" s="273"/>
      <c r="K40" s="51"/>
    </row>
    <row r="41" spans="1:11">
      <c r="A41" s="153"/>
      <c r="B41" s="153"/>
      <c r="C41" s="156"/>
      <c r="D41" s="273"/>
      <c r="E41" s="273"/>
      <c r="F41" s="291"/>
      <c r="G41" s="291"/>
      <c r="H41" s="273"/>
      <c r="I41" s="273"/>
      <c r="J41" s="273"/>
      <c r="K41" s="51"/>
    </row>
    <row r="42" spans="1:11">
      <c r="A42" s="153"/>
      <c r="B42" s="153"/>
      <c r="C42" s="156"/>
      <c r="D42" s="273"/>
      <c r="E42" s="273"/>
      <c r="F42" s="291"/>
      <c r="G42" s="291"/>
      <c r="H42" s="273"/>
      <c r="I42" s="273"/>
      <c r="J42" s="273"/>
      <c r="K42" s="51"/>
    </row>
    <row r="43" spans="1:11">
      <c r="A43" s="153"/>
      <c r="B43" s="153"/>
      <c r="C43" s="156"/>
      <c r="D43" s="273"/>
      <c r="E43" s="273"/>
      <c r="F43" s="291"/>
      <c r="G43" s="291"/>
      <c r="H43" s="273"/>
      <c r="I43" s="273"/>
      <c r="J43" s="273"/>
      <c r="K43" s="51"/>
    </row>
    <row r="44" spans="1:11">
      <c r="A44" s="153"/>
      <c r="B44" s="153"/>
      <c r="C44" s="156"/>
      <c r="D44" s="273"/>
      <c r="E44" s="273"/>
      <c r="F44" s="292"/>
      <c r="G44" s="292"/>
      <c r="H44" s="273"/>
      <c r="I44" s="273"/>
      <c r="J44" s="273"/>
      <c r="K44" s="51"/>
    </row>
    <row r="45" spans="1:11">
      <c r="A45" s="153"/>
      <c r="B45" s="153"/>
      <c r="C45" s="156"/>
      <c r="D45" s="153"/>
      <c r="E45" s="153"/>
      <c r="F45" s="182"/>
      <c r="G45" s="182"/>
      <c r="H45" s="153"/>
      <c r="I45" s="153"/>
      <c r="J45" s="153"/>
      <c r="K45" s="51"/>
    </row>
    <row r="46" spans="1:11">
      <c r="A46" s="153"/>
      <c r="B46" s="153"/>
      <c r="C46" s="159"/>
      <c r="D46" s="160"/>
      <c r="E46" s="160"/>
      <c r="F46" s="293">
        <f>SUM(F11:G44)</f>
        <v>176790</v>
      </c>
      <c r="G46" s="294"/>
      <c r="H46" s="95"/>
      <c r="I46" s="95"/>
      <c r="J46" s="95"/>
      <c r="K46" s="51"/>
    </row>
    <row r="47" spans="1:11">
      <c r="A47" s="153"/>
      <c r="B47" s="153"/>
      <c r="C47" s="100"/>
      <c r="D47" s="100"/>
      <c r="E47" s="161"/>
      <c r="F47" s="100"/>
      <c r="G47" s="100"/>
      <c r="H47" s="100"/>
      <c r="I47" s="100"/>
      <c r="J47" s="100"/>
      <c r="K47" s="51"/>
    </row>
    <row r="48" spans="1:11">
      <c r="A48" s="153"/>
      <c r="B48" s="153"/>
      <c r="C48" s="100"/>
      <c r="D48" s="289" t="s">
        <v>10</v>
      </c>
      <c r="E48" s="289"/>
      <c r="F48" s="100"/>
      <c r="G48" s="162">
        <f>F46/1000</f>
        <v>176.79</v>
      </c>
      <c r="H48" s="100"/>
      <c r="I48" s="96"/>
      <c r="J48" s="100"/>
      <c r="K48" s="51"/>
    </row>
    <row r="49" spans="1:11">
      <c r="A49" s="153"/>
      <c r="B49" s="153"/>
      <c r="C49" s="100"/>
      <c r="D49" s="100"/>
      <c r="E49" s="161"/>
      <c r="F49" s="100"/>
      <c r="G49" s="100"/>
      <c r="H49" s="100"/>
      <c r="I49" s="96"/>
      <c r="J49" s="100"/>
      <c r="K49" s="51"/>
    </row>
    <row r="50" spans="1:11">
      <c r="A50" s="153"/>
      <c r="B50" s="153"/>
      <c r="C50" s="100"/>
      <c r="D50" s="100"/>
      <c r="E50" s="100"/>
      <c r="F50" s="100"/>
      <c r="G50" s="100"/>
      <c r="H50" s="100"/>
      <c r="I50" s="100"/>
      <c r="J50" s="100"/>
      <c r="K50" s="51"/>
    </row>
    <row r="51" spans="1:11">
      <c r="A51" s="153"/>
      <c r="B51" s="153"/>
      <c r="C51" s="287" t="s">
        <v>11</v>
      </c>
      <c r="D51" s="287"/>
      <c r="E51" s="287" t="s">
        <v>12</v>
      </c>
      <c r="F51" s="287"/>
      <c r="G51" s="154" t="s">
        <v>13</v>
      </c>
      <c r="H51" s="154" t="s">
        <v>14</v>
      </c>
      <c r="I51" s="100"/>
      <c r="J51" s="100"/>
      <c r="K51" s="51"/>
    </row>
    <row r="52" spans="1:11">
      <c r="A52" s="153"/>
      <c r="B52" s="153"/>
      <c r="C52" s="295" t="s">
        <v>33</v>
      </c>
      <c r="D52" s="295"/>
      <c r="E52" s="328"/>
      <c r="F52" s="328"/>
      <c r="G52" s="163">
        <f>E52/E57</f>
        <v>0</v>
      </c>
      <c r="H52" s="164"/>
      <c r="I52" s="183"/>
      <c r="J52" s="100"/>
      <c r="K52" s="51"/>
    </row>
    <row r="53" spans="1:11">
      <c r="A53" s="153"/>
      <c r="B53" s="153"/>
      <c r="C53" s="273" t="s">
        <v>16</v>
      </c>
      <c r="D53" s="273"/>
      <c r="E53" s="328">
        <f>F12+F14+F15</f>
        <v>87030</v>
      </c>
      <c r="F53" s="328"/>
      <c r="G53" s="163">
        <f>E53/E57</f>
        <v>0.49227897505515017</v>
      </c>
      <c r="H53" s="164">
        <v>3</v>
      </c>
      <c r="I53" s="100"/>
      <c r="J53" s="100"/>
      <c r="K53" s="51"/>
    </row>
    <row r="54" spans="1:11">
      <c r="A54" s="153"/>
      <c r="B54" s="153"/>
      <c r="C54" s="273" t="s">
        <v>15</v>
      </c>
      <c r="D54" s="273"/>
      <c r="E54" s="328">
        <f>F11+F13+F16</f>
        <v>89760</v>
      </c>
      <c r="F54" s="328"/>
      <c r="G54" s="163">
        <f>E54/E57</f>
        <v>0.50772102494484983</v>
      </c>
      <c r="H54" s="164">
        <v>3</v>
      </c>
      <c r="I54" s="100"/>
      <c r="J54" s="100"/>
      <c r="K54" s="51"/>
    </row>
    <row r="55" spans="1:11">
      <c r="A55" s="153"/>
      <c r="B55" s="153"/>
      <c r="C55" s="273" t="s">
        <v>18</v>
      </c>
      <c r="D55" s="273"/>
      <c r="E55" s="274"/>
      <c r="F55" s="274"/>
      <c r="G55" s="163">
        <f>E55/E57</f>
        <v>0</v>
      </c>
      <c r="H55" s="164"/>
      <c r="I55" s="100"/>
      <c r="J55" s="100"/>
      <c r="K55" s="51"/>
    </row>
    <row r="56" spans="1:11">
      <c r="A56" s="153"/>
      <c r="B56" s="153"/>
      <c r="C56" s="273" t="s">
        <v>19</v>
      </c>
      <c r="D56" s="273"/>
      <c r="E56" s="288"/>
      <c r="F56" s="288"/>
      <c r="G56" s="163">
        <f>E56/E57</f>
        <v>0</v>
      </c>
      <c r="H56" s="164"/>
      <c r="I56" s="100"/>
      <c r="J56" s="100"/>
      <c r="K56" s="51"/>
    </row>
    <row r="57" spans="1:11">
      <c r="A57" s="153"/>
      <c r="B57" s="153"/>
      <c r="C57" s="165"/>
      <c r="D57" s="166" t="s">
        <v>20</v>
      </c>
      <c r="E57" s="329">
        <f>SUM(E52:F56)</f>
        <v>176790</v>
      </c>
      <c r="F57" s="329"/>
      <c r="G57" s="167">
        <f>SUM(G52:G56)</f>
        <v>1</v>
      </c>
      <c r="H57" s="168">
        <f>SUM(H52:H56)</f>
        <v>6</v>
      </c>
      <c r="I57" s="100"/>
      <c r="J57" s="100"/>
      <c r="K57" s="51"/>
    </row>
    <row r="58" spans="1:11">
      <c r="A58" s="153"/>
      <c r="B58" s="153"/>
      <c r="C58" s="169"/>
      <c r="D58" s="169"/>
      <c r="E58" s="160"/>
      <c r="F58" s="160"/>
      <c r="G58" s="160"/>
      <c r="H58" s="100"/>
      <c r="I58" s="100"/>
      <c r="J58" s="100"/>
      <c r="K58" s="51"/>
    </row>
    <row r="59" spans="1:11">
      <c r="A59" s="153"/>
      <c r="B59" s="153"/>
      <c r="C59" s="169"/>
      <c r="D59" s="169"/>
      <c r="E59" s="160"/>
      <c r="F59" s="160"/>
      <c r="G59" s="160"/>
      <c r="H59" s="100"/>
      <c r="I59" s="100"/>
      <c r="J59" s="100"/>
      <c r="K59" s="51"/>
    </row>
    <row r="60" spans="1:11">
      <c r="A60" s="153"/>
      <c r="B60" s="153"/>
      <c r="C60" s="170"/>
      <c r="D60" s="100"/>
      <c r="E60" s="96"/>
      <c r="F60" s="171"/>
      <c r="G60" s="172"/>
      <c r="H60" s="100"/>
      <c r="I60" s="100"/>
      <c r="J60" s="96"/>
      <c r="K60" s="51"/>
    </row>
    <row r="61" spans="1:11">
      <c r="A61" s="153"/>
      <c r="B61" s="153"/>
      <c r="C61" s="283" t="s">
        <v>7</v>
      </c>
      <c r="D61" s="284"/>
      <c r="E61" s="285"/>
      <c r="F61" s="286" t="s">
        <v>6</v>
      </c>
      <c r="G61" s="287"/>
      <c r="H61" s="154" t="s">
        <v>13</v>
      </c>
      <c r="I61" s="100"/>
      <c r="J61" s="100"/>
      <c r="K61" s="51"/>
    </row>
    <row r="62" spans="1:11">
      <c r="A62" s="153"/>
      <c r="B62" s="153"/>
      <c r="C62" s="273" t="s">
        <v>21</v>
      </c>
      <c r="D62" s="273"/>
      <c r="E62" s="273"/>
      <c r="F62" s="282"/>
      <c r="G62" s="282"/>
      <c r="H62" s="163">
        <f>F62/F64</f>
        <v>0</v>
      </c>
      <c r="I62" s="183"/>
      <c r="J62" s="100"/>
      <c r="K62" s="51"/>
    </row>
    <row r="63" spans="1:11">
      <c r="A63" s="153"/>
      <c r="B63" s="153"/>
      <c r="C63" s="273" t="s">
        <v>22</v>
      </c>
      <c r="D63" s="273"/>
      <c r="E63" s="273"/>
      <c r="F63" s="288">
        <f>F46</f>
        <v>176790</v>
      </c>
      <c r="G63" s="288"/>
      <c r="H63" s="163">
        <f>F63/F64</f>
        <v>1</v>
      </c>
      <c r="I63" s="100"/>
      <c r="J63" s="100"/>
      <c r="K63" s="51"/>
    </row>
    <row r="64" spans="1:11">
      <c r="A64" s="153"/>
      <c r="B64" s="153"/>
      <c r="C64" s="100"/>
      <c r="D64" s="100" t="s">
        <v>20</v>
      </c>
      <c r="E64" s="100"/>
      <c r="F64" s="278">
        <f>SUM(F62:G63)</f>
        <v>176790</v>
      </c>
      <c r="G64" s="278"/>
      <c r="H64" s="167">
        <f>SUM(H62:H63)</f>
        <v>1</v>
      </c>
      <c r="I64" s="96"/>
      <c r="J64" s="100"/>
      <c r="K64" s="51"/>
    </row>
    <row r="65" spans="1:11">
      <c r="A65" s="153"/>
      <c r="B65" s="153"/>
      <c r="C65" s="100"/>
      <c r="D65" s="100"/>
      <c r="E65" s="100"/>
      <c r="F65" s="184"/>
      <c r="G65" s="184"/>
      <c r="H65" s="185"/>
      <c r="I65" s="100"/>
      <c r="J65" s="100"/>
      <c r="K65" s="51"/>
    </row>
    <row r="66" spans="1:11">
      <c r="A66" s="153"/>
      <c r="B66" s="153"/>
      <c r="C66" s="100"/>
      <c r="D66" s="100"/>
      <c r="E66" s="100"/>
      <c r="F66" s="184"/>
      <c r="G66" s="184"/>
      <c r="H66" s="185"/>
      <c r="I66" s="100"/>
      <c r="J66" s="100"/>
      <c r="K66" s="51"/>
    </row>
    <row r="67" spans="1:11">
      <c r="A67" s="153"/>
      <c r="B67" s="153"/>
      <c r="C67" s="100"/>
      <c r="D67" s="51"/>
      <c r="E67" s="279" t="s">
        <v>23</v>
      </c>
      <c r="F67" s="279"/>
      <c r="G67" s="279"/>
      <c r="H67" s="279"/>
      <c r="I67" s="100"/>
      <c r="J67" s="100"/>
      <c r="K67" s="51"/>
    </row>
    <row r="68" spans="1:11">
      <c r="A68" s="153"/>
      <c r="B68" s="153"/>
      <c r="C68" s="100"/>
      <c r="D68" s="174"/>
      <c r="E68" s="100"/>
      <c r="F68" s="100"/>
      <c r="G68" s="100"/>
      <c r="H68" s="100"/>
      <c r="I68" s="100"/>
      <c r="J68" s="100"/>
      <c r="K68" s="51"/>
    </row>
    <row r="69" spans="1:11">
      <c r="A69" s="100"/>
      <c r="B69" s="100"/>
      <c r="C69" s="100"/>
      <c r="D69" s="175" t="s">
        <v>24</v>
      </c>
      <c r="E69" s="276" t="s">
        <v>25</v>
      </c>
      <c r="F69" s="277"/>
      <c r="G69" s="276" t="s">
        <v>26</v>
      </c>
      <c r="H69" s="277"/>
      <c r="I69" s="100"/>
      <c r="J69" s="100"/>
      <c r="K69" s="51"/>
    </row>
    <row r="70" spans="1:11">
      <c r="A70" s="100"/>
      <c r="B70" s="100"/>
      <c r="C70" s="100"/>
      <c r="D70" s="176" t="s">
        <v>27</v>
      </c>
      <c r="E70" s="177" t="s">
        <v>28</v>
      </c>
      <c r="F70" s="177" t="s">
        <v>29</v>
      </c>
      <c r="G70" s="177" t="s">
        <v>28</v>
      </c>
      <c r="H70" s="177" t="s">
        <v>29</v>
      </c>
      <c r="I70" s="100"/>
      <c r="J70" s="100"/>
      <c r="K70" s="51"/>
    </row>
    <row r="71" spans="1:11">
      <c r="A71" s="100"/>
      <c r="B71" s="100"/>
      <c r="C71" s="100"/>
      <c r="D71" s="190" t="s">
        <v>30</v>
      </c>
      <c r="E71" s="63">
        <f>Comparativo!$AY$13</f>
        <v>559.32000000000005</v>
      </c>
      <c r="F71" s="83">
        <f>Comparativo!$AZ$13</f>
        <v>15</v>
      </c>
      <c r="G71" s="63">
        <f>ENE!G46</f>
        <v>123.39</v>
      </c>
      <c r="H71" s="207">
        <f>ENE!H55</f>
        <v>4</v>
      </c>
      <c r="I71" s="100"/>
      <c r="J71" s="100"/>
      <c r="K71" s="51"/>
    </row>
    <row r="72" spans="1:11">
      <c r="A72" s="100"/>
      <c r="B72" s="100"/>
      <c r="C72" s="100"/>
      <c r="D72" s="178" t="s">
        <v>34</v>
      </c>
      <c r="E72" s="66">
        <f>Comparativo!AY14</f>
        <v>437.76</v>
      </c>
      <c r="F72" s="86">
        <f>Comparativo!AZ14</f>
        <v>19</v>
      </c>
      <c r="G72" s="66">
        <f>$G$48</f>
        <v>176.79</v>
      </c>
      <c r="H72" s="69">
        <f>$H$57</f>
        <v>6</v>
      </c>
      <c r="I72" s="100"/>
      <c r="J72" s="100"/>
      <c r="K72" s="51"/>
    </row>
    <row r="73" spans="1:11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51"/>
    </row>
    <row r="74" spans="1:11">
      <c r="A74" s="100"/>
      <c r="B74" s="100"/>
      <c r="C74" s="100"/>
      <c r="D74" s="100"/>
      <c r="E74" s="179">
        <f>SUM(E71:E73)</f>
        <v>997.08</v>
      </c>
      <c r="F74" s="180">
        <f>SUM(F71:F73)</f>
        <v>34</v>
      </c>
      <c r="G74" s="179">
        <f>SUM(G71:G72)</f>
        <v>300.18</v>
      </c>
      <c r="H74" s="180">
        <f>SUM(H71:H72)</f>
        <v>10</v>
      </c>
      <c r="I74" s="100"/>
      <c r="J74" s="100"/>
      <c r="K74" s="51"/>
    </row>
    <row r="75" spans="1:11">
      <c r="A75" s="100"/>
      <c r="B75" s="100"/>
      <c r="C75" s="100"/>
      <c r="D75" s="100"/>
      <c r="E75" s="100"/>
      <c r="F75" s="100"/>
      <c r="G75" s="100"/>
      <c r="H75" s="100"/>
      <c r="I75" s="100"/>
      <c r="J75" s="100"/>
    </row>
    <row r="76" spans="1:11">
      <c r="A76" s="100"/>
      <c r="B76" s="100"/>
      <c r="C76" s="100"/>
      <c r="D76" s="100"/>
      <c r="E76" s="100"/>
      <c r="F76" s="100"/>
      <c r="G76" s="100"/>
      <c r="H76" s="100"/>
      <c r="I76" s="100"/>
      <c r="J76" s="100"/>
    </row>
    <row r="77" spans="1:11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>
      <c r="A81" s="51"/>
      <c r="B81" s="51"/>
      <c r="C81" s="51"/>
      <c r="D81" s="51"/>
      <c r="E81" s="51"/>
      <c r="F81" s="51"/>
      <c r="G81" s="51"/>
      <c r="H81" s="51"/>
      <c r="I81" s="51"/>
      <c r="J81" s="51"/>
    </row>
    <row r="82" spans="1:10">
      <c r="A82" s="51"/>
      <c r="B82" s="51"/>
      <c r="C82" s="51"/>
      <c r="D82" s="51"/>
      <c r="E82" s="51"/>
      <c r="F82" s="51"/>
      <c r="G82" s="51"/>
      <c r="H82" s="51"/>
      <c r="I82" s="51"/>
      <c r="J82" s="51"/>
    </row>
    <row r="83" spans="1:10">
      <c r="A83" s="51"/>
      <c r="B83" s="51"/>
      <c r="C83" s="51"/>
      <c r="D83" s="51"/>
      <c r="E83" s="51"/>
      <c r="F83" s="51"/>
      <c r="G83" s="51"/>
      <c r="H83" s="51"/>
      <c r="I83" s="51"/>
      <c r="J83" s="51"/>
    </row>
    <row r="84" spans="1:10">
      <c r="A84" s="51"/>
      <c r="B84" s="51"/>
      <c r="C84" s="51"/>
      <c r="D84" s="51"/>
      <c r="E84" s="51"/>
      <c r="F84" s="51"/>
      <c r="G84" s="51"/>
      <c r="H84" s="51"/>
      <c r="I84" s="51"/>
      <c r="J84" s="51"/>
    </row>
    <row r="85" spans="1:10">
      <c r="A85" s="51"/>
      <c r="B85" s="51"/>
      <c r="C85" s="51"/>
      <c r="D85" s="51"/>
      <c r="E85" s="51"/>
      <c r="F85" s="51"/>
      <c r="G85" s="51"/>
      <c r="H85" s="51"/>
      <c r="I85" s="51"/>
      <c r="J85" s="51"/>
    </row>
    <row r="86" spans="1:10">
      <c r="A86" s="51"/>
      <c r="B86" s="51"/>
      <c r="C86" s="51"/>
      <c r="D86" s="51"/>
      <c r="E86" s="51"/>
      <c r="F86" s="51"/>
      <c r="G86" s="51"/>
      <c r="H86" s="51"/>
      <c r="I86" s="51"/>
      <c r="J86" s="51"/>
    </row>
    <row r="87" spans="1:10">
      <c r="A87" s="51"/>
      <c r="B87" s="51"/>
      <c r="C87" s="51"/>
      <c r="D87" s="51"/>
      <c r="E87" s="51"/>
      <c r="F87" s="51"/>
      <c r="G87" s="51"/>
      <c r="H87" s="51"/>
      <c r="I87" s="51"/>
      <c r="J87" s="51"/>
    </row>
    <row r="88" spans="1:10">
      <c r="A88" s="51"/>
      <c r="B88" s="51"/>
      <c r="C88" s="51"/>
      <c r="D88" s="51"/>
      <c r="E88" s="51"/>
      <c r="F88" s="51"/>
      <c r="G88" s="51"/>
      <c r="H88" s="51"/>
      <c r="I88" s="51"/>
      <c r="J88" s="51"/>
    </row>
  </sheetData>
  <mergeCells count="123">
    <mergeCell ref="H39:J39"/>
    <mergeCell ref="H40:J40"/>
    <mergeCell ref="D44:E44"/>
    <mergeCell ref="F41:G41"/>
    <mergeCell ref="F42:G42"/>
    <mergeCell ref="H42:J42"/>
    <mergeCell ref="D41:E41"/>
    <mergeCell ref="H41:J41"/>
    <mergeCell ref="H43:J43"/>
    <mergeCell ref="H44:J44"/>
    <mergeCell ref="D43:E43"/>
    <mergeCell ref="E69:F69"/>
    <mergeCell ref="G69:H69"/>
    <mergeCell ref="F46:G46"/>
    <mergeCell ref="D48:E48"/>
    <mergeCell ref="E51:F51"/>
    <mergeCell ref="C51:D51"/>
    <mergeCell ref="C55:D55"/>
    <mergeCell ref="E52:F52"/>
    <mergeCell ref="C53:D53"/>
    <mergeCell ref="F64:G64"/>
    <mergeCell ref="E53:F53"/>
    <mergeCell ref="E55:F55"/>
    <mergeCell ref="E56:F56"/>
    <mergeCell ref="C56:D56"/>
    <mergeCell ref="C62:E62"/>
    <mergeCell ref="C63:E63"/>
    <mergeCell ref="C54:D54"/>
    <mergeCell ref="E54:F54"/>
    <mergeCell ref="E57:F57"/>
    <mergeCell ref="C61:E61"/>
    <mergeCell ref="F61:G61"/>
    <mergeCell ref="F63:G63"/>
    <mergeCell ref="C52:D52"/>
    <mergeCell ref="F62:G62"/>
    <mergeCell ref="D16:E16"/>
    <mergeCell ref="F16:G16"/>
    <mergeCell ref="D15:E15"/>
    <mergeCell ref="D20:E20"/>
    <mergeCell ref="F20:G20"/>
    <mergeCell ref="H20:J20"/>
    <mergeCell ref="E67:H67"/>
    <mergeCell ref="D36:E36"/>
    <mergeCell ref="F36:G36"/>
    <mergeCell ref="D37:E37"/>
    <mergeCell ref="F37:G37"/>
    <mergeCell ref="F44:G44"/>
    <mergeCell ref="F43:G43"/>
    <mergeCell ref="D39:E39"/>
    <mergeCell ref="F39:G39"/>
    <mergeCell ref="D40:E40"/>
    <mergeCell ref="F40:G40"/>
    <mergeCell ref="H37:J37"/>
    <mergeCell ref="H38:J38"/>
    <mergeCell ref="F38:G38"/>
    <mergeCell ref="D38:E38"/>
    <mergeCell ref="D42:E42"/>
    <mergeCell ref="F19:G19"/>
    <mergeCell ref="H19:J19"/>
    <mergeCell ref="D10:E10"/>
    <mergeCell ref="F10:G10"/>
    <mergeCell ref="H10:J10"/>
    <mergeCell ref="D11:E11"/>
    <mergeCell ref="F11:G11"/>
    <mergeCell ref="F15:G15"/>
    <mergeCell ref="D12:E12"/>
    <mergeCell ref="F12:G12"/>
    <mergeCell ref="D14:E14"/>
    <mergeCell ref="F14:G14"/>
    <mergeCell ref="D13:E13"/>
    <mergeCell ref="F13:G13"/>
    <mergeCell ref="D17:E17"/>
    <mergeCell ref="F17:G17"/>
    <mergeCell ref="D19:E19"/>
    <mergeCell ref="D18:E18"/>
    <mergeCell ref="F18:G18"/>
    <mergeCell ref="H18:J18"/>
    <mergeCell ref="H25:J25"/>
    <mergeCell ref="D23:E23"/>
    <mergeCell ref="F23:G23"/>
    <mergeCell ref="H23:J23"/>
    <mergeCell ref="H24:J24"/>
    <mergeCell ref="D25:E25"/>
    <mergeCell ref="F25:G25"/>
    <mergeCell ref="H22:J22"/>
    <mergeCell ref="D24:E24"/>
    <mergeCell ref="F24:G24"/>
    <mergeCell ref="D28:E28"/>
    <mergeCell ref="D34:E34"/>
    <mergeCell ref="F34:G34"/>
    <mergeCell ref="H34:J34"/>
    <mergeCell ref="F28:G28"/>
    <mergeCell ref="H28:J28"/>
    <mergeCell ref="D30:E30"/>
    <mergeCell ref="D32:E32"/>
    <mergeCell ref="F32:G32"/>
    <mergeCell ref="H32:J32"/>
    <mergeCell ref="F30:G30"/>
    <mergeCell ref="H30:J30"/>
    <mergeCell ref="F26:G26"/>
    <mergeCell ref="H26:J26"/>
    <mergeCell ref="D27:E27"/>
    <mergeCell ref="E7:H7"/>
    <mergeCell ref="F35:G35"/>
    <mergeCell ref="D35:E35"/>
    <mergeCell ref="H35:J35"/>
    <mergeCell ref="D29:E29"/>
    <mergeCell ref="F29:G29"/>
    <mergeCell ref="H29:J29"/>
    <mergeCell ref="D31:E31"/>
    <mergeCell ref="F31:G31"/>
    <mergeCell ref="H31:J31"/>
    <mergeCell ref="D33:E33"/>
    <mergeCell ref="F33:G33"/>
    <mergeCell ref="H33:J33"/>
    <mergeCell ref="D21:E21"/>
    <mergeCell ref="F21:G21"/>
    <mergeCell ref="H21:J21"/>
    <mergeCell ref="D22:E22"/>
    <mergeCell ref="D26:E26"/>
    <mergeCell ref="F27:G27"/>
    <mergeCell ref="H27:J27"/>
    <mergeCell ref="F22:G22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rowBreaks count="1" manualBreakCount="1">
    <brk id="81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1"/>
  <sheetViews>
    <sheetView showGridLines="0" zoomScaleNormal="100" workbookViewId="0">
      <selection activeCell="H11" sqref="H11:H12"/>
    </sheetView>
  </sheetViews>
  <sheetFormatPr defaultColWidth="9.140625" defaultRowHeight="12.75"/>
  <cols>
    <col min="1" max="2" width="4.28515625" style="53" customWidth="1"/>
    <col min="3" max="6" width="12.42578125" style="53" customWidth="1"/>
    <col min="7" max="7" width="14.28515625" style="53" customWidth="1"/>
    <col min="8" max="8" width="11.42578125" style="53" customWidth="1"/>
    <col min="9" max="9" width="13.140625" style="53" bestFit="1" customWidth="1"/>
    <col min="10" max="10" width="15.85546875" style="53" customWidth="1"/>
    <col min="11" max="11" width="11.42578125" style="53" customWidth="1"/>
    <col min="12" max="12" width="11.7109375" style="53" bestFit="1" customWidth="1"/>
    <col min="13" max="256" width="11.42578125" style="53" customWidth="1"/>
    <col min="257" max="16384" width="9.140625" style="53"/>
  </cols>
  <sheetData>
    <row r="1" spans="1:11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>
      <c r="A3" s="55"/>
      <c r="B3" s="55"/>
      <c r="C3" s="51"/>
      <c r="D3" s="51"/>
      <c r="E3" s="51"/>
      <c r="F3" s="51"/>
      <c r="G3" s="51"/>
      <c r="H3" s="51"/>
      <c r="I3" s="51"/>
      <c r="J3" s="51"/>
      <c r="K3" s="51"/>
    </row>
    <row r="4" spans="1:11">
      <c r="A4" s="48"/>
      <c r="B4" s="48"/>
      <c r="C4" s="51"/>
      <c r="D4" s="51"/>
      <c r="E4" s="51"/>
      <c r="F4" s="51"/>
      <c r="G4" s="51"/>
      <c r="H4" s="51"/>
      <c r="I4" s="51"/>
      <c r="J4" s="51"/>
      <c r="K4" s="51"/>
    </row>
    <row r="5" spans="1:11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>
      <c r="A7" s="48"/>
      <c r="B7" s="48"/>
      <c r="C7" s="51"/>
      <c r="D7" s="51"/>
      <c r="E7" s="272" t="s">
        <v>1</v>
      </c>
      <c r="F7" s="272"/>
      <c r="G7" s="272"/>
      <c r="H7" s="272"/>
      <c r="I7" s="186" t="s">
        <v>35</v>
      </c>
      <c r="J7" s="187">
        <f>CARÁT!$F$16</f>
        <v>2023</v>
      </c>
      <c r="K7" s="51"/>
    </row>
    <row r="8" spans="1:11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51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51"/>
    </row>
    <row r="11" spans="1:11">
      <c r="A11" s="153"/>
      <c r="B11" s="153">
        <v>15</v>
      </c>
      <c r="C11" s="156">
        <v>44988</v>
      </c>
      <c r="D11" s="326" t="s">
        <v>32</v>
      </c>
      <c r="E11" s="326"/>
      <c r="F11" s="275">
        <v>44250</v>
      </c>
      <c r="G11" s="275"/>
      <c r="H11" s="157" t="s">
        <v>9</v>
      </c>
      <c r="I11" s="157"/>
      <c r="J11" s="157"/>
      <c r="K11" s="51"/>
    </row>
    <row r="12" spans="1:11">
      <c r="A12" s="153"/>
      <c r="B12" s="153">
        <v>16</v>
      </c>
      <c r="C12" s="156">
        <v>44988</v>
      </c>
      <c r="D12" s="327" t="s">
        <v>8</v>
      </c>
      <c r="E12" s="327"/>
      <c r="F12" s="275">
        <v>42540</v>
      </c>
      <c r="G12" s="275"/>
      <c r="H12" s="157" t="s">
        <v>9</v>
      </c>
      <c r="I12" s="157"/>
      <c r="J12" s="157"/>
      <c r="K12" s="51"/>
    </row>
    <row r="13" spans="1:11">
      <c r="A13" s="153"/>
      <c r="B13" s="153">
        <v>17</v>
      </c>
      <c r="C13" s="156">
        <v>44993</v>
      </c>
      <c r="D13" s="327" t="s">
        <v>32</v>
      </c>
      <c r="E13" s="327"/>
      <c r="F13" s="275">
        <v>41010</v>
      </c>
      <c r="G13" s="275"/>
      <c r="H13" s="157" t="s">
        <v>9</v>
      </c>
      <c r="I13" s="157"/>
      <c r="J13" s="157"/>
      <c r="K13" s="51"/>
    </row>
    <row r="14" spans="1:11">
      <c r="A14" s="153"/>
      <c r="B14" s="153">
        <v>18</v>
      </c>
      <c r="C14" s="156">
        <v>44992</v>
      </c>
      <c r="D14" s="327" t="s">
        <v>8</v>
      </c>
      <c r="E14" s="327"/>
      <c r="F14" s="275">
        <v>9150</v>
      </c>
      <c r="G14" s="275"/>
      <c r="H14" s="157" t="s">
        <v>9</v>
      </c>
      <c r="I14" s="157"/>
      <c r="J14" s="157"/>
      <c r="K14" s="51"/>
    </row>
    <row r="15" spans="1:11">
      <c r="A15" s="153"/>
      <c r="B15" s="153">
        <v>19</v>
      </c>
      <c r="C15" s="156">
        <v>44999</v>
      </c>
      <c r="D15" s="327" t="s">
        <v>32</v>
      </c>
      <c r="E15" s="327"/>
      <c r="F15" s="275">
        <v>42750</v>
      </c>
      <c r="G15" s="275"/>
      <c r="H15" s="157" t="s">
        <v>9</v>
      </c>
      <c r="I15" s="157"/>
      <c r="J15" s="157"/>
      <c r="K15" s="51"/>
    </row>
    <row r="16" spans="1:11">
      <c r="A16" s="153"/>
      <c r="B16" s="153">
        <v>20</v>
      </c>
      <c r="C16" s="156">
        <v>45001</v>
      </c>
      <c r="D16" s="327" t="s">
        <v>36</v>
      </c>
      <c r="E16" s="327"/>
      <c r="F16" s="275">
        <v>46500</v>
      </c>
      <c r="G16" s="275"/>
      <c r="H16" s="157" t="s">
        <v>9</v>
      </c>
      <c r="I16" s="157"/>
      <c r="J16" s="157"/>
      <c r="K16" s="51"/>
    </row>
    <row r="17" spans="1:11">
      <c r="A17" s="153"/>
      <c r="B17" s="153">
        <v>21</v>
      </c>
      <c r="C17" s="156">
        <v>45002</v>
      </c>
      <c r="D17" s="327" t="s">
        <v>8</v>
      </c>
      <c r="E17" s="327"/>
      <c r="F17" s="275">
        <v>23940</v>
      </c>
      <c r="G17" s="275"/>
      <c r="H17" s="157" t="s">
        <v>9</v>
      </c>
      <c r="I17" s="157"/>
      <c r="J17" s="157"/>
      <c r="K17" s="51"/>
    </row>
    <row r="18" spans="1:11">
      <c r="A18" s="153"/>
      <c r="B18" s="153">
        <v>22</v>
      </c>
      <c r="C18" s="156">
        <v>45009</v>
      </c>
      <c r="D18" s="327" t="s">
        <v>8</v>
      </c>
      <c r="E18" s="327"/>
      <c r="F18" s="275">
        <v>33360</v>
      </c>
      <c r="G18" s="275"/>
      <c r="H18" s="157" t="s">
        <v>9</v>
      </c>
      <c r="I18" s="157"/>
      <c r="J18" s="157"/>
      <c r="K18" s="51"/>
    </row>
    <row r="19" spans="1:11">
      <c r="A19" s="153"/>
      <c r="B19" s="153">
        <v>23</v>
      </c>
      <c r="C19" s="156">
        <v>45014</v>
      </c>
      <c r="D19" s="327" t="s">
        <v>8</v>
      </c>
      <c r="E19" s="327"/>
      <c r="F19" s="275">
        <v>15000</v>
      </c>
      <c r="G19" s="275"/>
      <c r="H19" s="157" t="s">
        <v>9</v>
      </c>
      <c r="I19" s="157"/>
      <c r="J19" s="157"/>
      <c r="K19" s="51"/>
    </row>
    <row r="20" spans="1:11">
      <c r="A20" s="153"/>
      <c r="B20" s="153">
        <v>25</v>
      </c>
      <c r="C20" s="156">
        <v>45005</v>
      </c>
      <c r="D20" s="327" t="s">
        <v>32</v>
      </c>
      <c r="E20" s="327"/>
      <c r="F20" s="275">
        <v>41640</v>
      </c>
      <c r="G20" s="275"/>
      <c r="H20" s="157" t="s">
        <v>9</v>
      </c>
      <c r="I20" s="157"/>
      <c r="J20" s="157"/>
      <c r="K20" s="51"/>
    </row>
    <row r="21" spans="1:11">
      <c r="A21" s="153"/>
      <c r="B21" s="153">
        <v>26</v>
      </c>
      <c r="C21" s="156">
        <v>45016</v>
      </c>
      <c r="D21" s="327" t="s">
        <v>36</v>
      </c>
      <c r="E21" s="327"/>
      <c r="F21" s="275">
        <v>30420</v>
      </c>
      <c r="G21" s="275"/>
      <c r="H21" s="273" t="s">
        <v>9</v>
      </c>
      <c r="I21" s="273"/>
      <c r="J21" s="273"/>
      <c r="K21" s="51"/>
    </row>
    <row r="22" spans="1:11">
      <c r="A22" s="153"/>
      <c r="B22" s="153"/>
      <c r="C22" s="156"/>
      <c r="D22" s="327"/>
      <c r="E22" s="327"/>
      <c r="F22" s="275"/>
      <c r="G22" s="275"/>
      <c r="H22" s="273"/>
      <c r="I22" s="273"/>
      <c r="J22" s="273"/>
      <c r="K22" s="51"/>
    </row>
    <row r="23" spans="1:11">
      <c r="A23" s="153"/>
      <c r="B23" s="153"/>
      <c r="C23" s="156"/>
      <c r="D23" s="327"/>
      <c r="E23" s="327"/>
      <c r="F23" s="275"/>
      <c r="G23" s="275"/>
      <c r="H23" s="273"/>
      <c r="I23" s="273"/>
      <c r="J23" s="273"/>
      <c r="K23" s="51"/>
    </row>
    <row r="24" spans="1:11">
      <c r="A24" s="153"/>
      <c r="B24" s="153"/>
      <c r="C24" s="156"/>
      <c r="D24" s="327"/>
      <c r="E24" s="327"/>
      <c r="F24" s="275"/>
      <c r="G24" s="275"/>
      <c r="H24" s="273"/>
      <c r="I24" s="273"/>
      <c r="J24" s="273"/>
      <c r="K24" s="51"/>
    </row>
    <row r="25" spans="1:11">
      <c r="A25" s="153"/>
      <c r="B25" s="153"/>
      <c r="C25" s="156"/>
      <c r="D25" s="327"/>
      <c r="E25" s="327"/>
      <c r="F25" s="275"/>
      <c r="G25" s="275"/>
      <c r="H25" s="273"/>
      <c r="I25" s="273"/>
      <c r="J25" s="273"/>
      <c r="K25" s="51"/>
    </row>
    <row r="26" spans="1:11">
      <c r="A26" s="153"/>
      <c r="B26" s="153"/>
      <c r="C26" s="156"/>
      <c r="D26" s="327"/>
      <c r="E26" s="327"/>
      <c r="F26" s="275"/>
      <c r="G26" s="275"/>
      <c r="H26" s="273"/>
      <c r="I26" s="273"/>
      <c r="J26" s="273"/>
      <c r="K26" s="51"/>
    </row>
    <row r="27" spans="1:11">
      <c r="A27" s="153"/>
      <c r="B27" s="153"/>
      <c r="C27" s="156"/>
      <c r="D27" s="327"/>
      <c r="E27" s="327"/>
      <c r="F27" s="274"/>
      <c r="G27" s="274"/>
      <c r="H27" s="273"/>
      <c r="I27" s="273"/>
      <c r="J27" s="273"/>
      <c r="K27" s="51"/>
    </row>
    <row r="28" spans="1:11">
      <c r="A28" s="153"/>
      <c r="B28" s="153"/>
      <c r="C28" s="156"/>
      <c r="D28" s="330"/>
      <c r="E28" s="327"/>
      <c r="F28" s="274"/>
      <c r="G28" s="274"/>
      <c r="H28" s="273"/>
      <c r="I28" s="273"/>
      <c r="J28" s="273"/>
      <c r="K28" s="51"/>
    </row>
    <row r="29" spans="1:11">
      <c r="A29" s="153"/>
      <c r="B29" s="153"/>
      <c r="C29" s="156"/>
      <c r="D29" s="327"/>
      <c r="E29" s="327"/>
      <c r="F29" s="274"/>
      <c r="G29" s="274"/>
      <c r="H29" s="273"/>
      <c r="I29" s="273"/>
      <c r="J29" s="273"/>
      <c r="K29" s="51"/>
    </row>
    <row r="30" spans="1:11">
      <c r="A30" s="153"/>
      <c r="B30" s="153"/>
      <c r="C30" s="156"/>
      <c r="D30" s="327"/>
      <c r="E30" s="327"/>
      <c r="F30" s="274"/>
      <c r="G30" s="274"/>
      <c r="H30" s="273"/>
      <c r="I30" s="273"/>
      <c r="J30" s="273"/>
      <c r="K30" s="51"/>
    </row>
    <row r="31" spans="1:11">
      <c r="A31" s="153"/>
      <c r="B31" s="153"/>
      <c r="C31" s="156"/>
      <c r="D31" s="327"/>
      <c r="E31" s="327"/>
      <c r="F31" s="274"/>
      <c r="G31" s="274"/>
      <c r="H31" s="273"/>
      <c r="I31" s="273"/>
      <c r="J31" s="273"/>
      <c r="K31" s="51"/>
    </row>
    <row r="32" spans="1:11">
      <c r="A32" s="153"/>
      <c r="B32" s="153"/>
      <c r="C32" s="156"/>
      <c r="D32" s="327"/>
      <c r="E32" s="327"/>
      <c r="F32" s="274"/>
      <c r="G32" s="274"/>
      <c r="H32" s="273"/>
      <c r="I32" s="273"/>
      <c r="J32" s="273"/>
      <c r="K32" s="51"/>
    </row>
    <row r="33" spans="1:12">
      <c r="A33" s="153"/>
      <c r="B33" s="153"/>
      <c r="C33" s="156"/>
      <c r="D33" s="327"/>
      <c r="E33" s="327"/>
      <c r="F33" s="274"/>
      <c r="G33" s="274"/>
      <c r="H33" s="273"/>
      <c r="I33" s="273"/>
      <c r="J33" s="273"/>
      <c r="K33" s="51"/>
    </row>
    <row r="34" spans="1:12">
      <c r="A34" s="153"/>
      <c r="B34" s="153"/>
      <c r="C34" s="156"/>
      <c r="D34" s="327"/>
      <c r="E34" s="327"/>
      <c r="F34" s="274"/>
      <c r="G34" s="274"/>
      <c r="H34" s="273"/>
      <c r="I34" s="273"/>
      <c r="J34" s="273"/>
      <c r="K34" s="51"/>
      <c r="L34" s="188"/>
    </row>
    <row r="35" spans="1:12">
      <c r="A35" s="153"/>
      <c r="B35" s="153"/>
      <c r="C35" s="156"/>
      <c r="D35" s="327"/>
      <c r="E35" s="327"/>
      <c r="F35" s="274"/>
      <c r="G35" s="274"/>
      <c r="H35" s="273"/>
      <c r="I35" s="273"/>
      <c r="J35" s="273"/>
      <c r="K35" s="51"/>
    </row>
    <row r="36" spans="1:12">
      <c r="A36" s="153"/>
      <c r="B36" s="153"/>
      <c r="C36" s="156"/>
      <c r="D36" s="327"/>
      <c r="E36" s="327"/>
      <c r="F36" s="274"/>
      <c r="G36" s="274"/>
      <c r="H36" s="273"/>
      <c r="I36" s="273"/>
      <c r="J36" s="273"/>
      <c r="K36" s="51"/>
    </row>
    <row r="37" spans="1:12">
      <c r="A37" s="153"/>
      <c r="B37" s="153"/>
      <c r="C37" s="156"/>
      <c r="D37" s="327"/>
      <c r="E37" s="327"/>
      <c r="F37" s="274"/>
      <c r="G37" s="274"/>
      <c r="H37" s="273"/>
      <c r="I37" s="273"/>
      <c r="J37" s="273"/>
      <c r="K37" s="51"/>
    </row>
    <row r="38" spans="1:12">
      <c r="A38" s="153"/>
      <c r="B38" s="153"/>
      <c r="C38" s="156"/>
      <c r="D38" s="327"/>
      <c r="E38" s="327"/>
      <c r="F38" s="274"/>
      <c r="G38" s="274"/>
      <c r="H38" s="273"/>
      <c r="I38" s="273"/>
      <c r="J38" s="273"/>
      <c r="K38" s="51"/>
    </row>
    <row r="39" spans="1:12">
      <c r="A39" s="153"/>
      <c r="B39" s="153"/>
      <c r="C39" s="156"/>
      <c r="D39" s="327"/>
      <c r="E39" s="327"/>
      <c r="F39" s="274"/>
      <c r="G39" s="274"/>
      <c r="H39" s="273"/>
      <c r="I39" s="273"/>
      <c r="J39" s="273"/>
      <c r="K39" s="51"/>
    </row>
    <row r="40" spans="1:12">
      <c r="A40" s="153"/>
      <c r="B40" s="153"/>
      <c r="C40" s="156"/>
      <c r="D40" s="327"/>
      <c r="E40" s="327"/>
      <c r="F40" s="274"/>
      <c r="G40" s="274"/>
      <c r="H40" s="273"/>
      <c r="I40" s="273"/>
      <c r="J40" s="273"/>
      <c r="K40" s="51"/>
    </row>
    <row r="41" spans="1:12">
      <c r="A41" s="153"/>
      <c r="B41" s="153"/>
      <c r="C41" s="159"/>
      <c r="D41" s="160"/>
      <c r="E41" s="160"/>
      <c r="F41" s="293">
        <f>SUM(F11:G40)</f>
        <v>370560</v>
      </c>
      <c r="G41" s="294"/>
      <c r="H41" s="95"/>
      <c r="I41" s="95"/>
      <c r="J41" s="95"/>
      <c r="K41" s="51"/>
    </row>
    <row r="42" spans="1:12">
      <c r="A42" s="153"/>
      <c r="B42" s="153"/>
      <c r="C42" s="100"/>
      <c r="D42" s="100"/>
      <c r="E42" s="161"/>
      <c r="F42" s="100"/>
      <c r="G42" s="100"/>
      <c r="H42" s="100"/>
      <c r="I42" s="96"/>
      <c r="J42" s="100"/>
      <c r="K42" s="51"/>
    </row>
    <row r="43" spans="1:12">
      <c r="A43" s="153"/>
      <c r="B43" s="153"/>
      <c r="C43" s="100"/>
      <c r="D43" s="289" t="s">
        <v>10</v>
      </c>
      <c r="E43" s="289"/>
      <c r="F43" s="100"/>
      <c r="G43" s="162">
        <f>F41/1000</f>
        <v>370.56</v>
      </c>
      <c r="H43" s="100"/>
      <c r="I43" s="100"/>
      <c r="J43" s="100"/>
      <c r="K43" s="51"/>
    </row>
    <row r="44" spans="1:12">
      <c r="A44" s="153"/>
      <c r="B44" s="153"/>
      <c r="C44" s="100"/>
      <c r="D44" s="100"/>
      <c r="E44" s="100"/>
      <c r="F44" s="100"/>
      <c r="G44" s="100"/>
      <c r="H44" s="100"/>
      <c r="I44" s="100"/>
      <c r="J44" s="100"/>
      <c r="K44" s="51"/>
    </row>
    <row r="45" spans="1:12">
      <c r="A45" s="153"/>
      <c r="B45" s="153"/>
      <c r="C45" s="287" t="s">
        <v>11</v>
      </c>
      <c r="D45" s="287"/>
      <c r="E45" s="287" t="s">
        <v>12</v>
      </c>
      <c r="F45" s="287"/>
      <c r="G45" s="154" t="s">
        <v>13</v>
      </c>
      <c r="H45" s="154" t="s">
        <v>14</v>
      </c>
      <c r="I45" s="100"/>
      <c r="J45" s="100"/>
      <c r="K45" s="51"/>
    </row>
    <row r="46" spans="1:12">
      <c r="A46" s="153"/>
      <c r="B46" s="153"/>
      <c r="C46" s="295" t="s">
        <v>33</v>
      </c>
      <c r="D46" s="295"/>
      <c r="E46" s="328"/>
      <c r="F46" s="328"/>
      <c r="G46" s="163">
        <f>+E46/F41</f>
        <v>0</v>
      </c>
      <c r="H46" s="164"/>
      <c r="I46" s="100"/>
      <c r="J46" s="100"/>
      <c r="K46" s="51"/>
    </row>
    <row r="47" spans="1:12">
      <c r="A47" s="153"/>
      <c r="B47" s="153"/>
      <c r="C47" s="273" t="s">
        <v>16</v>
      </c>
      <c r="D47" s="273"/>
      <c r="E47" s="328">
        <f>F11+F13+F15+F20</f>
        <v>169650</v>
      </c>
      <c r="F47" s="328"/>
      <c r="G47" s="163">
        <f>+E47/F41</f>
        <v>0.4578205958549223</v>
      </c>
      <c r="H47" s="164">
        <v>4</v>
      </c>
      <c r="I47" s="100"/>
      <c r="J47" s="100"/>
      <c r="K47" s="51"/>
    </row>
    <row r="48" spans="1:12">
      <c r="A48" s="153"/>
      <c r="B48" s="153"/>
      <c r="C48" s="273" t="s">
        <v>15</v>
      </c>
      <c r="D48" s="273"/>
      <c r="E48" s="274">
        <f>F12+F14+F17+F18+F19</f>
        <v>123990</v>
      </c>
      <c r="F48" s="274"/>
      <c r="G48" s="163">
        <f>+E48/F41</f>
        <v>0.33460168393782386</v>
      </c>
      <c r="H48" s="164">
        <v>5</v>
      </c>
      <c r="I48" s="100"/>
      <c r="J48" s="100"/>
      <c r="K48" s="51"/>
    </row>
    <row r="49" spans="1:11">
      <c r="A49" s="153"/>
      <c r="B49" s="153"/>
      <c r="C49" s="273" t="s">
        <v>37</v>
      </c>
      <c r="D49" s="273"/>
      <c r="E49" s="328">
        <f>F16+F21</f>
        <v>76920</v>
      </c>
      <c r="F49" s="328"/>
      <c r="G49" s="163">
        <f>+E49/F41</f>
        <v>0.20757772020725387</v>
      </c>
      <c r="H49" s="164">
        <v>2</v>
      </c>
      <c r="I49" s="100"/>
      <c r="J49" s="100"/>
      <c r="K49" s="51"/>
    </row>
    <row r="50" spans="1:11">
      <c r="A50" s="153"/>
      <c r="B50" s="153"/>
      <c r="C50" s="273" t="s">
        <v>19</v>
      </c>
      <c r="D50" s="273"/>
      <c r="E50" s="288"/>
      <c r="F50" s="288"/>
      <c r="G50" s="163">
        <f>+E50/F41</f>
        <v>0</v>
      </c>
      <c r="H50" s="164"/>
      <c r="I50" s="100"/>
      <c r="J50" s="100"/>
      <c r="K50" s="51"/>
    </row>
    <row r="51" spans="1:11">
      <c r="A51" s="153"/>
      <c r="B51" s="153"/>
      <c r="C51" s="165"/>
      <c r="D51" s="166" t="s">
        <v>20</v>
      </c>
      <c r="E51" s="329">
        <f>SUM(E46:F50)</f>
        <v>370560</v>
      </c>
      <c r="F51" s="329"/>
      <c r="G51" s="167">
        <f>SUM(G46:G50)</f>
        <v>1</v>
      </c>
      <c r="H51" s="168">
        <f>SUM(H46:H50)</f>
        <v>11</v>
      </c>
      <c r="I51" s="100"/>
      <c r="J51" s="96"/>
      <c r="K51" s="51"/>
    </row>
    <row r="52" spans="1:11">
      <c r="A52" s="153"/>
      <c r="B52" s="153"/>
      <c r="C52" s="170"/>
      <c r="D52" s="100"/>
      <c r="E52" s="96"/>
      <c r="F52" s="171"/>
      <c r="G52" s="172"/>
      <c r="H52" s="100"/>
      <c r="I52" s="100"/>
      <c r="J52" s="100"/>
      <c r="K52" s="51"/>
    </row>
    <row r="53" spans="1:11">
      <c r="A53" s="153"/>
      <c r="B53" s="153"/>
      <c r="C53" s="283" t="s">
        <v>7</v>
      </c>
      <c r="D53" s="284"/>
      <c r="E53" s="285"/>
      <c r="F53" s="286" t="s">
        <v>6</v>
      </c>
      <c r="G53" s="287"/>
      <c r="H53" s="154" t="s">
        <v>13</v>
      </c>
      <c r="I53" s="100"/>
      <c r="J53" s="100"/>
      <c r="K53" s="51"/>
    </row>
    <row r="54" spans="1:11">
      <c r="A54" s="153"/>
      <c r="B54" s="153"/>
      <c r="C54" s="273" t="s">
        <v>21</v>
      </c>
      <c r="D54" s="273"/>
      <c r="E54" s="273"/>
      <c r="F54" s="282"/>
      <c r="G54" s="282"/>
      <c r="H54" s="163">
        <f>+F54/F56</f>
        <v>0</v>
      </c>
      <c r="I54" s="100"/>
      <c r="J54" s="100"/>
      <c r="K54" s="51"/>
    </row>
    <row r="55" spans="1:11">
      <c r="A55" s="153"/>
      <c r="B55" s="153"/>
      <c r="C55" s="273" t="s">
        <v>22</v>
      </c>
      <c r="D55" s="273"/>
      <c r="E55" s="273"/>
      <c r="F55" s="288">
        <f>F41</f>
        <v>370560</v>
      </c>
      <c r="G55" s="288"/>
      <c r="H55" s="163">
        <f>+F55/F56</f>
        <v>1</v>
      </c>
      <c r="I55" s="100"/>
      <c r="J55" s="100"/>
      <c r="K55" s="51"/>
    </row>
    <row r="56" spans="1:11">
      <c r="A56" s="153"/>
      <c r="B56" s="153"/>
      <c r="C56" s="100"/>
      <c r="D56" s="100" t="s">
        <v>20</v>
      </c>
      <c r="E56" s="100"/>
      <c r="F56" s="278">
        <f>SUM(F54:G55)</f>
        <v>370560</v>
      </c>
      <c r="G56" s="278"/>
      <c r="H56" s="167">
        <f>SUM(H54:H55)</f>
        <v>1</v>
      </c>
      <c r="I56" s="100"/>
      <c r="J56" s="100"/>
      <c r="K56" s="51"/>
    </row>
    <row r="57" spans="1:11">
      <c r="A57" s="153"/>
      <c r="B57" s="153"/>
      <c r="C57" s="100"/>
      <c r="D57" s="100"/>
      <c r="E57" s="100"/>
      <c r="F57" s="184"/>
      <c r="G57" s="184"/>
      <c r="H57" s="185"/>
      <c r="I57" s="100"/>
      <c r="J57" s="100"/>
      <c r="K57" s="51"/>
    </row>
    <row r="58" spans="1:11">
      <c r="A58" s="153"/>
      <c r="B58" s="153"/>
      <c r="C58" s="100"/>
      <c r="D58" s="100"/>
      <c r="E58" s="100"/>
      <c r="F58" s="184"/>
      <c r="G58" s="184"/>
      <c r="H58" s="185"/>
      <c r="I58" s="100"/>
      <c r="J58" s="100"/>
      <c r="K58" s="51"/>
    </row>
    <row r="59" spans="1:11">
      <c r="A59" s="153"/>
      <c r="B59" s="153"/>
      <c r="C59" s="100"/>
      <c r="D59" s="51"/>
      <c r="E59" s="279" t="s">
        <v>23</v>
      </c>
      <c r="F59" s="279"/>
      <c r="G59" s="279"/>
      <c r="H59" s="279"/>
      <c r="I59" s="100"/>
      <c r="J59" s="100"/>
      <c r="K59" s="51"/>
    </row>
    <row r="60" spans="1:11">
      <c r="A60" s="153"/>
      <c r="B60" s="153"/>
      <c r="C60" s="100"/>
      <c r="D60" s="174"/>
      <c r="E60" s="100"/>
      <c r="F60" s="100"/>
      <c r="G60" s="100"/>
      <c r="H60" s="100"/>
      <c r="I60" s="100"/>
      <c r="J60" s="100"/>
      <c r="K60" s="51"/>
    </row>
    <row r="61" spans="1:11">
      <c r="A61" s="100"/>
      <c r="B61" s="100"/>
      <c r="C61" s="100"/>
      <c r="D61" s="175" t="s">
        <v>24</v>
      </c>
      <c r="E61" s="276" t="s">
        <v>25</v>
      </c>
      <c r="F61" s="277"/>
      <c r="G61" s="276" t="s">
        <v>26</v>
      </c>
      <c r="H61" s="277"/>
      <c r="I61" s="100"/>
      <c r="J61" s="100"/>
      <c r="K61" s="51"/>
    </row>
    <row r="62" spans="1:11">
      <c r="A62" s="100"/>
      <c r="B62" s="100"/>
      <c r="C62" s="100"/>
      <c r="D62" s="176" t="s">
        <v>27</v>
      </c>
      <c r="E62" s="177" t="s">
        <v>28</v>
      </c>
      <c r="F62" s="177" t="s">
        <v>29</v>
      </c>
      <c r="G62" s="177" t="s">
        <v>28</v>
      </c>
      <c r="H62" s="177" t="s">
        <v>29</v>
      </c>
      <c r="I62" s="100"/>
      <c r="J62" s="100"/>
      <c r="K62" s="51"/>
    </row>
    <row r="63" spans="1:11">
      <c r="A63" s="100"/>
      <c r="B63" s="100"/>
      <c r="C63" s="100"/>
      <c r="D63" s="190" t="s">
        <v>30</v>
      </c>
      <c r="E63" s="63">
        <f>Comparativo!AY13</f>
        <v>559.32000000000005</v>
      </c>
      <c r="F63" s="189">
        <f>Comparativo!AZ13</f>
        <v>15</v>
      </c>
      <c r="G63" s="63">
        <f>ENE!$G$46</f>
        <v>123.39</v>
      </c>
      <c r="H63" s="189">
        <f>ENE!$H$55</f>
        <v>4</v>
      </c>
      <c r="I63" s="100"/>
      <c r="J63" s="100"/>
      <c r="K63" s="51"/>
    </row>
    <row r="64" spans="1:11">
      <c r="A64" s="100"/>
      <c r="B64" s="100"/>
      <c r="C64" s="100"/>
      <c r="D64" s="190" t="s">
        <v>34</v>
      </c>
      <c r="E64" s="63">
        <f>Comparativo!AY14</f>
        <v>437.76</v>
      </c>
      <c r="F64" s="191">
        <f>Comparativo!AZ14</f>
        <v>19</v>
      </c>
      <c r="G64" s="192">
        <f>FEB!$G$48</f>
        <v>176.79</v>
      </c>
      <c r="H64" s="191">
        <f>FEB!$H$57</f>
        <v>6</v>
      </c>
      <c r="I64" s="100"/>
      <c r="J64" s="100"/>
      <c r="K64" s="51"/>
    </row>
    <row r="65" spans="1:11">
      <c r="A65" s="100"/>
      <c r="B65" s="100"/>
      <c r="C65" s="100"/>
      <c r="D65" s="193" t="s">
        <v>38</v>
      </c>
      <c r="E65" s="66">
        <f>Comparativo!AY15</f>
        <v>541.5</v>
      </c>
      <c r="F65" s="194">
        <f>Comparativo!AZ15</f>
        <v>15</v>
      </c>
      <c r="G65" s="66">
        <f>$G$43</f>
        <v>370.56</v>
      </c>
      <c r="H65" s="195">
        <f>$H$51</f>
        <v>11</v>
      </c>
      <c r="I65" s="100"/>
      <c r="J65" s="100"/>
      <c r="K65" s="51"/>
    </row>
    <row r="66" spans="1:1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51"/>
    </row>
    <row r="67" spans="1:11">
      <c r="A67" s="100"/>
      <c r="B67" s="100"/>
      <c r="C67" s="100"/>
      <c r="D67" s="100"/>
      <c r="E67" s="179">
        <f>SUM(E63:E66)</f>
        <v>1538.58</v>
      </c>
      <c r="F67" s="180">
        <f>SUM(F63:F66)</f>
        <v>49</v>
      </c>
      <c r="G67" s="179">
        <f>SUM(G63:G65)</f>
        <v>670.74</v>
      </c>
      <c r="H67" s="180">
        <f>SUM(H63:H65)</f>
        <v>21</v>
      </c>
      <c r="I67" s="100"/>
      <c r="J67" s="100"/>
      <c r="K67" s="51"/>
    </row>
    <row r="68" spans="1:11">
      <c r="A68" s="100"/>
      <c r="B68" s="100"/>
      <c r="C68" s="100"/>
      <c r="D68" s="100"/>
      <c r="E68" s="100"/>
      <c r="F68" s="100"/>
      <c r="G68" s="100"/>
      <c r="H68" s="100"/>
      <c r="I68" s="100"/>
      <c r="J68" s="100"/>
    </row>
    <row r="69" spans="1:11">
      <c r="A69" s="100"/>
      <c r="B69" s="100"/>
      <c r="C69" s="100"/>
      <c r="D69" s="100"/>
      <c r="E69" s="100"/>
      <c r="F69" s="100"/>
      <c r="G69" s="100"/>
      <c r="H69" s="100"/>
      <c r="I69" s="100"/>
      <c r="J69" s="100"/>
    </row>
    <row r="70" spans="1:11">
      <c r="A70" s="51"/>
      <c r="B70" s="51"/>
      <c r="C70" s="51"/>
      <c r="D70" s="51"/>
      <c r="E70" s="51"/>
      <c r="F70" s="51"/>
      <c r="G70" s="51"/>
      <c r="H70" s="51"/>
      <c r="I70" s="51"/>
      <c r="J70" s="51"/>
    </row>
    <row r="71" spans="1:11">
      <c r="A71" s="51"/>
      <c r="B71" s="51"/>
      <c r="C71" s="51"/>
      <c r="D71" s="51"/>
      <c r="E71" s="51"/>
      <c r="F71" s="51"/>
      <c r="G71" s="51"/>
      <c r="H71" s="51"/>
      <c r="I71" s="51"/>
      <c r="J71" s="51"/>
    </row>
    <row r="72" spans="1:11">
      <c r="A72" s="51"/>
      <c r="B72" s="51"/>
      <c r="C72" s="51"/>
      <c r="D72" s="51"/>
      <c r="E72" s="51"/>
      <c r="F72" s="51"/>
      <c r="G72" s="51"/>
      <c r="H72" s="51"/>
      <c r="I72" s="51"/>
      <c r="J72" s="51"/>
    </row>
    <row r="73" spans="1:11">
      <c r="A73" s="51"/>
      <c r="B73" s="51"/>
      <c r="C73" s="51"/>
      <c r="D73" s="51"/>
      <c r="E73" s="51"/>
      <c r="F73" s="51"/>
      <c r="G73" s="51"/>
      <c r="H73" s="51"/>
      <c r="I73" s="51"/>
      <c r="J73" s="51"/>
    </row>
    <row r="74" spans="1:11">
      <c r="A74" s="51"/>
      <c r="B74" s="51"/>
      <c r="C74" s="51"/>
      <c r="D74" s="51"/>
      <c r="E74" s="51"/>
      <c r="F74" s="51"/>
      <c r="G74" s="51"/>
      <c r="H74" s="51"/>
      <c r="I74" s="51"/>
      <c r="J74" s="51"/>
    </row>
    <row r="75" spans="1:11">
      <c r="A75" s="51"/>
      <c r="B75" s="51"/>
      <c r="C75" s="51"/>
      <c r="D75" s="51"/>
      <c r="E75" s="51"/>
      <c r="F75" s="51"/>
      <c r="G75" s="51"/>
      <c r="H75" s="51"/>
      <c r="I75" s="51"/>
      <c r="J75" s="51"/>
    </row>
    <row r="76" spans="1:11">
      <c r="A76" s="51"/>
      <c r="B76" s="51"/>
      <c r="C76" s="51"/>
      <c r="D76" s="51"/>
      <c r="E76" s="51"/>
      <c r="F76" s="51"/>
      <c r="G76" s="51"/>
      <c r="H76" s="51"/>
      <c r="I76" s="51"/>
      <c r="J76" s="51"/>
    </row>
    <row r="77" spans="1:11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>
      <c r="A81" s="51"/>
      <c r="B81" s="51"/>
      <c r="C81" s="51"/>
      <c r="D81" s="51"/>
      <c r="E81" s="51"/>
      <c r="F81" s="51"/>
      <c r="G81" s="51"/>
      <c r="H81" s="51"/>
      <c r="I81" s="51"/>
      <c r="J81" s="51"/>
    </row>
  </sheetData>
  <mergeCells count="109">
    <mergeCell ref="F37:G37"/>
    <mergeCell ref="E46:F46"/>
    <mergeCell ref="C47:D47"/>
    <mergeCell ref="D39:E39"/>
    <mergeCell ref="F41:G41"/>
    <mergeCell ref="H32:J32"/>
    <mergeCell ref="D33:E33"/>
    <mergeCell ref="F33:G33"/>
    <mergeCell ref="D35:E35"/>
    <mergeCell ref="F35:G35"/>
    <mergeCell ref="H35:J35"/>
    <mergeCell ref="D34:E34"/>
    <mergeCell ref="H33:J33"/>
    <mergeCell ref="F32:G32"/>
    <mergeCell ref="H37:J37"/>
    <mergeCell ref="D40:E40"/>
    <mergeCell ref="F40:G40"/>
    <mergeCell ref="F34:G34"/>
    <mergeCell ref="H34:J34"/>
    <mergeCell ref="D36:E36"/>
    <mergeCell ref="F36:G36"/>
    <mergeCell ref="H36:J36"/>
    <mergeCell ref="H40:J40"/>
    <mergeCell ref="H39:J39"/>
    <mergeCell ref="D37:E37"/>
    <mergeCell ref="F25:G25"/>
    <mergeCell ref="G61:H61"/>
    <mergeCell ref="E51:F51"/>
    <mergeCell ref="C53:E53"/>
    <mergeCell ref="F53:G53"/>
    <mergeCell ref="C54:E54"/>
    <mergeCell ref="C55:E55"/>
    <mergeCell ref="F56:G56"/>
    <mergeCell ref="E59:H59"/>
    <mergeCell ref="H38:J38"/>
    <mergeCell ref="E61:F61"/>
    <mergeCell ref="F55:G55"/>
    <mergeCell ref="F54:G54"/>
    <mergeCell ref="C50:D50"/>
    <mergeCell ref="E50:F50"/>
    <mergeCell ref="C48:D48"/>
    <mergeCell ref="E48:F48"/>
    <mergeCell ref="C49:D49"/>
    <mergeCell ref="E49:F49"/>
    <mergeCell ref="E47:F47"/>
    <mergeCell ref="D43:E43"/>
    <mergeCell ref="E45:F45"/>
    <mergeCell ref="C45:D45"/>
    <mergeCell ref="C46:D46"/>
    <mergeCell ref="D38:E38"/>
    <mergeCell ref="F38:G38"/>
    <mergeCell ref="F39:G39"/>
    <mergeCell ref="F31:G31"/>
    <mergeCell ref="H31:J31"/>
    <mergeCell ref="F20:G20"/>
    <mergeCell ref="D21:E21"/>
    <mergeCell ref="F21:G21"/>
    <mergeCell ref="D30:E30"/>
    <mergeCell ref="F30:G30"/>
    <mergeCell ref="H30:J30"/>
    <mergeCell ref="F28:G28"/>
    <mergeCell ref="H28:J28"/>
    <mergeCell ref="F29:G29"/>
    <mergeCell ref="H29:J29"/>
    <mergeCell ref="D27:E27"/>
    <mergeCell ref="F27:G27"/>
    <mergeCell ref="H27:J27"/>
    <mergeCell ref="D28:E28"/>
    <mergeCell ref="D29:E29"/>
    <mergeCell ref="F22:G22"/>
    <mergeCell ref="D31:E31"/>
    <mergeCell ref="D20:E20"/>
    <mergeCell ref="D32:E32"/>
    <mergeCell ref="E7:H7"/>
    <mergeCell ref="D26:E26"/>
    <mergeCell ref="F26:G26"/>
    <mergeCell ref="H26:J26"/>
    <mergeCell ref="D24:E24"/>
    <mergeCell ref="F24:G24"/>
    <mergeCell ref="H25:J25"/>
    <mergeCell ref="D23:E23"/>
    <mergeCell ref="H24:J24"/>
    <mergeCell ref="D17:E17"/>
    <mergeCell ref="F23:G23"/>
    <mergeCell ref="H23:J23"/>
    <mergeCell ref="F17:G17"/>
    <mergeCell ref="H10:J10"/>
    <mergeCell ref="D11:E11"/>
    <mergeCell ref="F11:G11"/>
    <mergeCell ref="D10:E10"/>
    <mergeCell ref="F10:G10"/>
    <mergeCell ref="D13:E13"/>
    <mergeCell ref="F13:G13"/>
    <mergeCell ref="F14:G14"/>
    <mergeCell ref="D18:E18"/>
    <mergeCell ref="D14:E14"/>
    <mergeCell ref="D25:E25"/>
    <mergeCell ref="D12:E12"/>
    <mergeCell ref="F12:G12"/>
    <mergeCell ref="F15:G15"/>
    <mergeCell ref="D15:E15"/>
    <mergeCell ref="H21:J21"/>
    <mergeCell ref="D22:E22"/>
    <mergeCell ref="H22:J22"/>
    <mergeCell ref="D16:E16"/>
    <mergeCell ref="F16:G16"/>
    <mergeCell ref="F18:G18"/>
    <mergeCell ref="D19:E19"/>
    <mergeCell ref="F19:G19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1"/>
  <sheetViews>
    <sheetView showGridLines="0" topLeftCell="B12" zoomScaleNormal="100" workbookViewId="0">
      <selection activeCell="F35" sqref="F35:G35"/>
    </sheetView>
  </sheetViews>
  <sheetFormatPr defaultColWidth="9.140625" defaultRowHeight="12.75"/>
  <cols>
    <col min="1" max="2" width="4.28515625" style="53" customWidth="1"/>
    <col min="3" max="10" width="12.42578125" style="53" customWidth="1"/>
    <col min="11" max="256" width="11.42578125" style="53" customWidth="1"/>
    <col min="257" max="16384" width="9.140625" style="53"/>
  </cols>
  <sheetData>
    <row r="1" spans="1:11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>
      <c r="A3" s="55"/>
      <c r="B3" s="55"/>
      <c r="C3" s="51"/>
      <c r="D3" s="51"/>
      <c r="E3" s="51"/>
      <c r="F3" s="51"/>
      <c r="G3" s="51"/>
      <c r="H3" s="51"/>
      <c r="I3" s="51"/>
      <c r="J3" s="51"/>
      <c r="K3" s="51"/>
    </row>
    <row r="4" spans="1:11">
      <c r="A4" s="48"/>
      <c r="B4" s="48"/>
      <c r="C4" s="51"/>
      <c r="D4" s="51"/>
      <c r="E4" s="51"/>
      <c r="F4" s="51"/>
      <c r="G4" s="51"/>
      <c r="H4" s="51"/>
      <c r="I4" s="51"/>
      <c r="J4" s="51"/>
      <c r="K4" s="51"/>
    </row>
    <row r="5" spans="1:11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>
      <c r="A7" s="48"/>
      <c r="B7" s="48"/>
      <c r="C7" s="51"/>
      <c r="D7" s="51"/>
      <c r="E7" s="272" t="s">
        <v>1</v>
      </c>
      <c r="F7" s="272"/>
      <c r="G7" s="272"/>
      <c r="H7" s="272"/>
      <c r="I7" s="186" t="s">
        <v>39</v>
      </c>
      <c r="J7" s="187">
        <f>CARÁT!$F$16</f>
        <v>2023</v>
      </c>
      <c r="K7" s="51"/>
    </row>
    <row r="8" spans="1:11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51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51"/>
    </row>
    <row r="11" spans="1:11">
      <c r="A11" s="153"/>
      <c r="B11" s="95">
        <v>27</v>
      </c>
      <c r="C11" s="156">
        <v>45019</v>
      </c>
      <c r="D11" s="326" t="s">
        <v>32</v>
      </c>
      <c r="E11" s="326"/>
      <c r="F11" s="275">
        <v>18990</v>
      </c>
      <c r="G11" s="275"/>
      <c r="H11" s="157" t="s">
        <v>9</v>
      </c>
      <c r="I11" s="157"/>
      <c r="J11" s="157"/>
      <c r="K11" s="51"/>
    </row>
    <row r="12" spans="1:11">
      <c r="A12" s="153"/>
      <c r="B12" s="95">
        <v>28</v>
      </c>
      <c r="C12" s="156">
        <v>45021</v>
      </c>
      <c r="D12" s="327" t="s">
        <v>8</v>
      </c>
      <c r="E12" s="327"/>
      <c r="F12" s="275">
        <v>26820</v>
      </c>
      <c r="G12" s="275"/>
      <c r="H12" s="157" t="s">
        <v>9</v>
      </c>
      <c r="I12" s="157"/>
      <c r="J12" s="157"/>
      <c r="K12" s="51"/>
    </row>
    <row r="13" spans="1:11">
      <c r="A13" s="153"/>
      <c r="B13" s="95">
        <v>30</v>
      </c>
      <c r="C13" s="156">
        <v>45026</v>
      </c>
      <c r="D13" s="327" t="s">
        <v>32</v>
      </c>
      <c r="E13" s="327"/>
      <c r="F13" s="275">
        <v>22500</v>
      </c>
      <c r="G13" s="275"/>
      <c r="H13" s="157" t="s">
        <v>9</v>
      </c>
      <c r="I13" s="157"/>
      <c r="J13" s="157"/>
      <c r="K13" s="51"/>
    </row>
    <row r="14" spans="1:11">
      <c r="A14" s="153"/>
      <c r="B14" s="95">
        <v>31</v>
      </c>
      <c r="C14" s="156">
        <v>45046</v>
      </c>
      <c r="D14" s="327" t="s">
        <v>40</v>
      </c>
      <c r="E14" s="327"/>
      <c r="F14" s="275">
        <v>25590</v>
      </c>
      <c r="G14" s="275"/>
      <c r="H14" s="157" t="s">
        <v>9</v>
      </c>
      <c r="I14" s="157"/>
      <c r="J14" s="157"/>
      <c r="K14" s="51"/>
    </row>
    <row r="15" spans="1:11">
      <c r="A15" s="153"/>
      <c r="B15" s="95">
        <v>32</v>
      </c>
      <c r="C15" s="156">
        <v>45046</v>
      </c>
      <c r="D15" s="327" t="s">
        <v>41</v>
      </c>
      <c r="E15" s="327"/>
      <c r="F15" s="275">
        <v>35280</v>
      </c>
      <c r="G15" s="275"/>
      <c r="H15" s="157" t="s">
        <v>9</v>
      </c>
      <c r="I15" s="157"/>
      <c r="J15" s="157"/>
      <c r="K15" s="51"/>
    </row>
    <row r="16" spans="1:11">
      <c r="A16" s="153"/>
      <c r="B16" s="95">
        <v>33</v>
      </c>
      <c r="C16" s="156">
        <v>45043</v>
      </c>
      <c r="D16" s="327" t="s">
        <v>36</v>
      </c>
      <c r="E16" s="327"/>
      <c r="F16" s="275">
        <v>23550</v>
      </c>
      <c r="G16" s="275"/>
      <c r="H16" s="157" t="s">
        <v>9</v>
      </c>
      <c r="I16" s="157"/>
      <c r="J16" s="157"/>
      <c r="K16" s="51"/>
    </row>
    <row r="17" spans="1:11">
      <c r="A17" s="153"/>
      <c r="B17" s="95">
        <v>34</v>
      </c>
      <c r="C17" s="156">
        <v>45045</v>
      </c>
      <c r="D17" s="327" t="s">
        <v>42</v>
      </c>
      <c r="E17" s="327"/>
      <c r="F17" s="275">
        <v>25200</v>
      </c>
      <c r="G17" s="275"/>
      <c r="H17" s="157" t="s">
        <v>9</v>
      </c>
      <c r="I17" s="157"/>
      <c r="J17" s="157"/>
      <c r="K17" s="51"/>
    </row>
    <row r="18" spans="1:11">
      <c r="A18" s="153"/>
      <c r="B18" s="95">
        <v>35</v>
      </c>
      <c r="C18" s="156">
        <v>45027</v>
      </c>
      <c r="D18" s="327" t="s">
        <v>8</v>
      </c>
      <c r="E18" s="327"/>
      <c r="F18" s="275">
        <v>24060</v>
      </c>
      <c r="G18" s="275"/>
      <c r="H18" s="273" t="s">
        <v>9</v>
      </c>
      <c r="I18" s="273"/>
      <c r="J18" s="273"/>
      <c r="K18" s="51"/>
    </row>
    <row r="19" spans="1:11">
      <c r="A19" s="153"/>
      <c r="B19" s="95"/>
      <c r="C19" s="156"/>
      <c r="D19" s="327"/>
      <c r="E19" s="327"/>
      <c r="F19" s="275"/>
      <c r="G19" s="275"/>
      <c r="H19" s="273"/>
      <c r="I19" s="273"/>
      <c r="J19" s="273"/>
      <c r="K19" s="51"/>
    </row>
    <row r="20" spans="1:11">
      <c r="A20" s="153"/>
      <c r="B20" s="95"/>
      <c r="C20" s="156"/>
      <c r="D20" s="327"/>
      <c r="E20" s="327"/>
      <c r="F20" s="275"/>
      <c r="G20" s="275"/>
      <c r="H20" s="273"/>
      <c r="I20" s="273"/>
      <c r="J20" s="273"/>
      <c r="K20" s="51"/>
    </row>
    <row r="21" spans="1:11">
      <c r="A21" s="153"/>
      <c r="B21" s="95"/>
      <c r="C21" s="156"/>
      <c r="D21" s="327"/>
      <c r="E21" s="327"/>
      <c r="F21" s="275"/>
      <c r="G21" s="275"/>
      <c r="H21" s="273"/>
      <c r="I21" s="273"/>
      <c r="J21" s="273"/>
      <c r="K21" s="51"/>
    </row>
    <row r="22" spans="1:11">
      <c r="A22" s="153"/>
      <c r="B22" s="95"/>
      <c r="C22" s="156"/>
      <c r="D22" s="273"/>
      <c r="E22" s="273"/>
      <c r="F22" s="275"/>
      <c r="G22" s="275"/>
      <c r="H22" s="273"/>
      <c r="I22" s="273"/>
      <c r="J22" s="273"/>
      <c r="K22" s="51"/>
    </row>
    <row r="23" spans="1:11">
      <c r="A23" s="153"/>
      <c r="B23" s="95"/>
      <c r="C23" s="156"/>
      <c r="D23" s="327"/>
      <c r="E23" s="327"/>
      <c r="F23" s="275"/>
      <c r="G23" s="275"/>
      <c r="H23" s="273"/>
      <c r="I23" s="273"/>
      <c r="J23" s="273"/>
      <c r="K23" s="51"/>
    </row>
    <row r="24" spans="1:11">
      <c r="A24" s="153"/>
      <c r="B24" s="95"/>
      <c r="C24" s="156"/>
      <c r="D24" s="327"/>
      <c r="E24" s="327"/>
      <c r="F24" s="275"/>
      <c r="G24" s="275"/>
      <c r="H24" s="273"/>
      <c r="I24" s="273"/>
      <c r="J24" s="273"/>
      <c r="K24" s="51"/>
    </row>
    <row r="25" spans="1:11">
      <c r="A25" s="153"/>
      <c r="B25" s="95"/>
      <c r="C25" s="156"/>
      <c r="D25" s="327"/>
      <c r="E25" s="327"/>
      <c r="F25" s="275"/>
      <c r="G25" s="275"/>
      <c r="H25" s="273"/>
      <c r="I25" s="273"/>
      <c r="J25" s="273"/>
      <c r="K25" s="51"/>
    </row>
    <row r="26" spans="1:11">
      <c r="A26" s="153"/>
      <c r="B26" s="95"/>
      <c r="C26" s="156"/>
      <c r="D26" s="327"/>
      <c r="E26" s="327"/>
      <c r="F26" s="275"/>
      <c r="G26" s="275"/>
      <c r="H26" s="273"/>
      <c r="I26" s="273"/>
      <c r="J26" s="273"/>
      <c r="K26" s="51"/>
    </row>
    <row r="27" spans="1:11">
      <c r="A27" s="153"/>
      <c r="B27" s="95"/>
      <c r="C27" s="156"/>
      <c r="D27" s="327"/>
      <c r="E27" s="327"/>
      <c r="F27" s="275"/>
      <c r="G27" s="275"/>
      <c r="H27" s="273"/>
      <c r="I27" s="273"/>
      <c r="J27" s="273"/>
      <c r="K27" s="51"/>
    </row>
    <row r="28" spans="1:11">
      <c r="A28" s="153"/>
      <c r="B28" s="95"/>
      <c r="C28" s="156"/>
      <c r="D28" s="327"/>
      <c r="E28" s="327"/>
      <c r="F28" s="275"/>
      <c r="G28" s="275"/>
      <c r="H28" s="273"/>
      <c r="I28" s="273"/>
      <c r="J28" s="273"/>
      <c r="K28" s="51"/>
    </row>
    <row r="29" spans="1:11">
      <c r="A29" s="153"/>
      <c r="B29" s="95"/>
      <c r="C29" s="156"/>
      <c r="D29" s="327"/>
      <c r="E29" s="327"/>
      <c r="F29" s="274"/>
      <c r="G29" s="274"/>
      <c r="H29" s="273"/>
      <c r="I29" s="273"/>
      <c r="J29" s="273"/>
      <c r="K29" s="51"/>
    </row>
    <row r="30" spans="1:11">
      <c r="A30" s="153"/>
      <c r="B30" s="95"/>
      <c r="C30" s="156"/>
      <c r="D30" s="327"/>
      <c r="E30" s="327"/>
      <c r="F30" s="274"/>
      <c r="G30" s="274"/>
      <c r="H30" s="273"/>
      <c r="I30" s="273"/>
      <c r="J30" s="273"/>
      <c r="K30" s="51"/>
    </row>
    <row r="31" spans="1:11">
      <c r="A31" s="153"/>
      <c r="B31" s="95"/>
      <c r="C31" s="156"/>
      <c r="D31" s="327"/>
      <c r="E31" s="327"/>
      <c r="F31" s="274"/>
      <c r="G31" s="274"/>
      <c r="H31" s="273"/>
      <c r="I31" s="273"/>
      <c r="J31" s="273"/>
      <c r="K31" s="51"/>
    </row>
    <row r="32" spans="1:11">
      <c r="A32" s="153"/>
      <c r="B32" s="95"/>
      <c r="C32" s="156"/>
      <c r="D32" s="327"/>
      <c r="E32" s="327"/>
      <c r="F32" s="274"/>
      <c r="G32" s="274"/>
      <c r="H32" s="273"/>
      <c r="I32" s="273"/>
      <c r="J32" s="273"/>
      <c r="K32" s="51"/>
    </row>
    <row r="33" spans="1:11">
      <c r="A33" s="153"/>
      <c r="B33" s="95"/>
      <c r="C33" s="156"/>
      <c r="D33" s="327"/>
      <c r="E33" s="327"/>
      <c r="F33" s="274"/>
      <c r="G33" s="274"/>
      <c r="H33" s="273"/>
      <c r="I33" s="273"/>
      <c r="J33" s="273"/>
      <c r="K33" s="51"/>
    </row>
    <row r="34" spans="1:11">
      <c r="A34" s="153"/>
      <c r="B34" s="95"/>
      <c r="C34" s="156"/>
      <c r="D34" s="327"/>
      <c r="E34" s="327"/>
      <c r="F34" s="274"/>
      <c r="G34" s="274"/>
      <c r="H34" s="273"/>
      <c r="I34" s="273"/>
      <c r="J34" s="273"/>
      <c r="K34" s="51"/>
    </row>
    <row r="35" spans="1:11">
      <c r="A35" s="153"/>
      <c r="B35" s="95"/>
      <c r="C35" s="156"/>
      <c r="D35" s="273"/>
      <c r="E35" s="273"/>
      <c r="F35" s="274"/>
      <c r="G35" s="274"/>
      <c r="H35" s="273"/>
      <c r="I35" s="273"/>
      <c r="J35" s="273"/>
      <c r="K35" s="51"/>
    </row>
    <row r="36" spans="1:11">
      <c r="A36" s="153"/>
      <c r="B36" s="95"/>
      <c r="C36" s="156"/>
      <c r="D36" s="273"/>
      <c r="E36" s="273"/>
      <c r="F36" s="274"/>
      <c r="G36" s="274"/>
      <c r="H36" s="273"/>
      <c r="I36" s="273"/>
      <c r="J36" s="273"/>
      <c r="K36" s="51"/>
    </row>
    <row r="37" spans="1:11">
      <c r="A37" s="153"/>
      <c r="B37" s="95"/>
      <c r="C37" s="156"/>
      <c r="D37" s="273"/>
      <c r="E37" s="273"/>
      <c r="F37" s="274"/>
      <c r="G37" s="274"/>
      <c r="H37" s="273"/>
      <c r="I37" s="273"/>
      <c r="J37" s="273"/>
      <c r="K37" s="51"/>
    </row>
    <row r="38" spans="1:11">
      <c r="A38" s="153"/>
      <c r="B38" s="95"/>
      <c r="C38" s="156"/>
      <c r="D38" s="273"/>
      <c r="E38" s="273"/>
      <c r="F38" s="288"/>
      <c r="G38" s="288"/>
      <c r="H38" s="273"/>
      <c r="I38" s="273"/>
      <c r="J38" s="273"/>
      <c r="K38" s="51"/>
    </row>
    <row r="39" spans="1:11">
      <c r="A39" s="153"/>
      <c r="B39" s="153"/>
      <c r="C39" s="159"/>
      <c r="D39" s="160"/>
      <c r="E39" s="160"/>
      <c r="F39" s="293">
        <f>SUM(F11:G38)</f>
        <v>201990</v>
      </c>
      <c r="G39" s="294"/>
      <c r="H39" s="95"/>
      <c r="I39" s="95"/>
      <c r="J39" s="95"/>
      <c r="K39" s="51"/>
    </row>
    <row r="40" spans="1:11">
      <c r="A40" s="153"/>
      <c r="B40" s="153"/>
      <c r="C40" s="100"/>
      <c r="D40" s="100"/>
      <c r="E40" s="161"/>
      <c r="F40" s="100"/>
      <c r="G40" s="100"/>
      <c r="H40" s="100"/>
      <c r="I40" s="96"/>
      <c r="J40" s="100"/>
      <c r="K40" s="51"/>
    </row>
    <row r="41" spans="1:11">
      <c r="A41" s="153"/>
      <c r="B41" s="153"/>
      <c r="C41" s="100"/>
      <c r="D41" s="289" t="s">
        <v>10</v>
      </c>
      <c r="E41" s="289"/>
      <c r="F41" s="100"/>
      <c r="G41" s="162">
        <f>F39/1000</f>
        <v>201.99</v>
      </c>
      <c r="H41" s="100"/>
      <c r="I41" s="96"/>
      <c r="J41" s="100"/>
      <c r="K41" s="51"/>
    </row>
    <row r="42" spans="1:11">
      <c r="A42" s="153"/>
      <c r="B42" s="153"/>
      <c r="C42" s="100"/>
      <c r="D42" s="100"/>
      <c r="E42" s="161"/>
      <c r="F42" s="100"/>
      <c r="G42" s="100"/>
      <c r="H42" s="100"/>
      <c r="I42" s="100"/>
      <c r="J42" s="96"/>
      <c r="K42" s="51"/>
    </row>
    <row r="43" spans="1:11">
      <c r="A43" s="153"/>
      <c r="B43" s="153"/>
      <c r="C43" s="100"/>
      <c r="D43" s="100"/>
      <c r="E43" s="100"/>
      <c r="F43" s="100"/>
      <c r="G43" s="100"/>
      <c r="H43" s="100"/>
      <c r="I43" s="100"/>
      <c r="J43" s="100"/>
      <c r="K43" s="51"/>
    </row>
    <row r="44" spans="1:11">
      <c r="A44" s="153"/>
      <c r="B44" s="153"/>
      <c r="C44" s="287" t="s">
        <v>11</v>
      </c>
      <c r="D44" s="287"/>
      <c r="E44" s="287" t="s">
        <v>12</v>
      </c>
      <c r="F44" s="287"/>
      <c r="G44" s="154" t="s">
        <v>13</v>
      </c>
      <c r="H44" s="154" t="s">
        <v>14</v>
      </c>
      <c r="I44" s="100"/>
      <c r="J44" s="100"/>
      <c r="K44" s="51"/>
    </row>
    <row r="45" spans="1:11">
      <c r="A45" s="153"/>
      <c r="B45" s="153"/>
      <c r="C45" s="295" t="s">
        <v>37</v>
      </c>
      <c r="D45" s="295"/>
      <c r="E45" s="274">
        <f>F16+F17</f>
        <v>48750</v>
      </c>
      <c r="F45" s="274"/>
      <c r="G45" s="163">
        <f>+E45/E50</f>
        <v>0.24134858161295114</v>
      </c>
      <c r="H45" s="164">
        <v>2</v>
      </c>
      <c r="I45" s="100"/>
      <c r="J45" s="100"/>
      <c r="K45" s="51"/>
    </row>
    <row r="46" spans="1:11">
      <c r="A46" s="153"/>
      <c r="B46" s="153"/>
      <c r="C46" s="273" t="s">
        <v>16</v>
      </c>
      <c r="D46" s="273"/>
      <c r="E46" s="274">
        <f>F11+F13</f>
        <v>41490</v>
      </c>
      <c r="F46" s="274"/>
      <c r="G46" s="163">
        <f>+E46/E50</f>
        <v>0.2054062082281301</v>
      </c>
      <c r="H46" s="164">
        <v>2</v>
      </c>
      <c r="I46" s="100"/>
      <c r="J46" s="100"/>
      <c r="K46" s="51"/>
    </row>
    <row r="47" spans="1:11">
      <c r="A47" s="153"/>
      <c r="B47" s="153"/>
      <c r="C47" s="273" t="s">
        <v>15</v>
      </c>
      <c r="D47" s="273"/>
      <c r="E47" s="274">
        <f>F12+F18</f>
        <v>50880</v>
      </c>
      <c r="F47" s="274"/>
      <c r="G47" s="163">
        <f>+E47/E50</f>
        <v>0.25189365810188624</v>
      </c>
      <c r="H47" s="164">
        <v>2</v>
      </c>
      <c r="I47" s="100"/>
      <c r="J47" s="100"/>
      <c r="K47" s="51"/>
    </row>
    <row r="48" spans="1:11">
      <c r="A48" s="153"/>
      <c r="B48" s="153"/>
      <c r="C48" s="273" t="s">
        <v>19</v>
      </c>
      <c r="D48" s="273"/>
      <c r="E48" s="274">
        <f>F14</f>
        <v>25590</v>
      </c>
      <c r="F48" s="274"/>
      <c r="G48" s="163">
        <f>+E48/E50</f>
        <v>0.12668944007129065</v>
      </c>
      <c r="H48" s="164">
        <v>1</v>
      </c>
      <c r="I48" s="100"/>
      <c r="J48" s="100"/>
      <c r="K48" s="51"/>
    </row>
    <row r="49" spans="1:11">
      <c r="A49" s="153"/>
      <c r="B49" s="153"/>
      <c r="C49" s="273" t="s">
        <v>43</v>
      </c>
      <c r="D49" s="273"/>
      <c r="E49" s="274">
        <f>F15</f>
        <v>35280</v>
      </c>
      <c r="F49" s="274"/>
      <c r="G49" s="163">
        <f>+E49/E50</f>
        <v>0.17466211198574186</v>
      </c>
      <c r="H49" s="164">
        <v>1</v>
      </c>
      <c r="I49" s="100"/>
      <c r="J49" s="100"/>
      <c r="K49" s="51"/>
    </row>
    <row r="50" spans="1:11">
      <c r="A50" s="153"/>
      <c r="B50" s="153"/>
      <c r="C50" s="165"/>
      <c r="D50" s="166" t="s">
        <v>20</v>
      </c>
      <c r="E50" s="329">
        <f>SUM(E45:F49)</f>
        <v>201990</v>
      </c>
      <c r="F50" s="329"/>
      <c r="G50" s="167">
        <f>SUM(G45:G49)</f>
        <v>1</v>
      </c>
      <c r="H50" s="168">
        <f>SUM(H45:H49)</f>
        <v>8</v>
      </c>
      <c r="I50" s="100"/>
      <c r="J50" s="100"/>
      <c r="K50" s="51"/>
    </row>
    <row r="51" spans="1:11">
      <c r="A51" s="153"/>
      <c r="B51" s="153"/>
      <c r="C51" s="169"/>
      <c r="D51" s="169"/>
      <c r="E51" s="160"/>
      <c r="F51" s="160"/>
      <c r="G51" s="160"/>
      <c r="H51" s="100"/>
      <c r="I51" s="100"/>
      <c r="J51" s="100"/>
      <c r="K51" s="51"/>
    </row>
    <row r="52" spans="1:11">
      <c r="A52" s="153"/>
      <c r="B52" s="153"/>
      <c r="C52" s="170"/>
      <c r="D52" s="100"/>
      <c r="E52" s="96"/>
      <c r="F52" s="171"/>
      <c r="G52" s="172"/>
      <c r="H52" s="100"/>
      <c r="I52" s="100"/>
      <c r="J52" s="100"/>
      <c r="K52" s="51"/>
    </row>
    <row r="53" spans="1:11">
      <c r="A53" s="153"/>
      <c r="B53" s="153"/>
      <c r="C53" s="283" t="s">
        <v>7</v>
      </c>
      <c r="D53" s="284"/>
      <c r="E53" s="285"/>
      <c r="F53" s="286" t="s">
        <v>6</v>
      </c>
      <c r="G53" s="287"/>
      <c r="H53" s="154" t="s">
        <v>13</v>
      </c>
      <c r="I53" s="100"/>
      <c r="J53" s="100"/>
      <c r="K53" s="51"/>
    </row>
    <row r="54" spans="1:11">
      <c r="A54" s="153"/>
      <c r="B54" s="153"/>
      <c r="C54" s="273" t="s">
        <v>21</v>
      </c>
      <c r="D54" s="273"/>
      <c r="E54" s="273"/>
      <c r="F54" s="282"/>
      <c r="G54" s="282"/>
      <c r="H54" s="163">
        <f>F54/F56</f>
        <v>0</v>
      </c>
      <c r="I54" s="100"/>
      <c r="J54" s="100"/>
      <c r="K54" s="51"/>
    </row>
    <row r="55" spans="1:11">
      <c r="A55" s="153"/>
      <c r="B55" s="153"/>
      <c r="C55" s="273" t="s">
        <v>22</v>
      </c>
      <c r="D55" s="273"/>
      <c r="E55" s="273"/>
      <c r="F55" s="288">
        <f>F39</f>
        <v>201990</v>
      </c>
      <c r="G55" s="288"/>
      <c r="H55" s="163">
        <f>F55/F56</f>
        <v>1</v>
      </c>
      <c r="I55" s="100"/>
      <c r="J55" s="100"/>
      <c r="K55" s="51"/>
    </row>
    <row r="56" spans="1:11">
      <c r="A56" s="153"/>
      <c r="B56" s="153"/>
      <c r="C56" s="100"/>
      <c r="D56" s="100" t="s">
        <v>20</v>
      </c>
      <c r="E56" s="100"/>
      <c r="F56" s="278">
        <f>SUM(F54:G55)</f>
        <v>201990</v>
      </c>
      <c r="G56" s="278"/>
      <c r="H56" s="167">
        <f>SUM(H54:H55)</f>
        <v>1</v>
      </c>
      <c r="I56" s="100"/>
      <c r="J56" s="100"/>
      <c r="K56" s="51"/>
    </row>
    <row r="57" spans="1:11">
      <c r="A57" s="153"/>
      <c r="B57" s="153"/>
      <c r="C57" s="100"/>
      <c r="D57" s="100"/>
      <c r="E57" s="100"/>
      <c r="F57" s="184"/>
      <c r="G57" s="184"/>
      <c r="H57" s="185"/>
      <c r="I57" s="100"/>
      <c r="J57" s="100"/>
      <c r="K57" s="51"/>
    </row>
    <row r="58" spans="1:11">
      <c r="A58" s="153"/>
      <c r="B58" s="153"/>
      <c r="C58" s="100"/>
      <c r="D58" s="51"/>
      <c r="E58" s="279" t="s">
        <v>23</v>
      </c>
      <c r="F58" s="279"/>
      <c r="G58" s="279"/>
      <c r="H58" s="279"/>
      <c r="I58" s="100"/>
      <c r="J58" s="100"/>
      <c r="K58" s="51"/>
    </row>
    <row r="59" spans="1:11">
      <c r="A59" s="153"/>
      <c r="B59" s="153"/>
      <c r="C59" s="100"/>
      <c r="D59" s="174"/>
      <c r="E59" s="100"/>
      <c r="F59" s="100"/>
      <c r="G59" s="100"/>
      <c r="H59" s="100"/>
      <c r="I59" s="100"/>
      <c r="J59" s="100"/>
      <c r="K59" s="51"/>
    </row>
    <row r="60" spans="1:11">
      <c r="A60" s="100"/>
      <c r="B60" s="100"/>
      <c r="C60" s="100"/>
      <c r="D60" s="175" t="s">
        <v>24</v>
      </c>
      <c r="E60" s="276" t="s">
        <v>25</v>
      </c>
      <c r="F60" s="277"/>
      <c r="G60" s="276" t="s">
        <v>26</v>
      </c>
      <c r="H60" s="277"/>
      <c r="I60" s="100"/>
      <c r="J60" s="100"/>
      <c r="K60" s="51"/>
    </row>
    <row r="61" spans="1:11">
      <c r="A61" s="100"/>
      <c r="B61" s="100"/>
      <c r="C61" s="100"/>
      <c r="D61" s="176" t="s">
        <v>27</v>
      </c>
      <c r="E61" s="177" t="s">
        <v>28</v>
      </c>
      <c r="F61" s="177" t="s">
        <v>29</v>
      </c>
      <c r="G61" s="177" t="s">
        <v>28</v>
      </c>
      <c r="H61" s="177" t="s">
        <v>29</v>
      </c>
      <c r="I61" s="100"/>
      <c r="J61" s="100"/>
      <c r="K61" s="51"/>
    </row>
    <row r="62" spans="1:11">
      <c r="A62" s="100"/>
      <c r="B62" s="100"/>
      <c r="C62" s="100"/>
      <c r="D62" s="190" t="s">
        <v>30</v>
      </c>
      <c r="E62" s="63">
        <f>Comparativo!AY13</f>
        <v>559.32000000000005</v>
      </c>
      <c r="F62" s="189">
        <f>Comparativo!AZ13</f>
        <v>15</v>
      </c>
      <c r="G62" s="63">
        <f>ENE!$G$46</f>
        <v>123.39</v>
      </c>
      <c r="H62" s="189">
        <f>ENE!$H$55</f>
        <v>4</v>
      </c>
      <c r="I62" s="100"/>
      <c r="J62" s="100"/>
      <c r="K62" s="51"/>
    </row>
    <row r="63" spans="1:11">
      <c r="A63" s="100"/>
      <c r="B63" s="100"/>
      <c r="C63" s="100"/>
      <c r="D63" s="190" t="s">
        <v>34</v>
      </c>
      <c r="E63" s="63">
        <f>Comparativo!AY14</f>
        <v>437.76</v>
      </c>
      <c r="F63" s="191">
        <f>Comparativo!AZ14</f>
        <v>19</v>
      </c>
      <c r="G63" s="192">
        <f>FEB!$G$48</f>
        <v>176.79</v>
      </c>
      <c r="H63" s="191">
        <f>FEB!$H$57</f>
        <v>6</v>
      </c>
      <c r="I63" s="100"/>
      <c r="J63" s="100"/>
      <c r="K63" s="51"/>
    </row>
    <row r="64" spans="1:11">
      <c r="A64" s="100"/>
      <c r="B64" s="100"/>
      <c r="C64" s="100"/>
      <c r="D64" s="197" t="s">
        <v>38</v>
      </c>
      <c r="E64" s="63">
        <f>Comparativo!AY15</f>
        <v>541.5</v>
      </c>
      <c r="F64" s="191">
        <f>Comparativo!AZ15</f>
        <v>15</v>
      </c>
      <c r="G64" s="192">
        <f>MAR!$G$43</f>
        <v>370.56</v>
      </c>
      <c r="H64" s="191">
        <f>MAR!$H$51</f>
        <v>11</v>
      </c>
      <c r="I64" s="100"/>
      <c r="J64" s="100"/>
      <c r="K64" s="51"/>
    </row>
    <row r="65" spans="1:11">
      <c r="A65" s="100"/>
      <c r="B65" s="100"/>
      <c r="C65" s="100"/>
      <c r="D65" s="193" t="s">
        <v>44</v>
      </c>
      <c r="E65" s="66">
        <f>Comparativo!AY16</f>
        <v>509.58</v>
      </c>
      <c r="F65" s="194">
        <f>Comparativo!AZ16</f>
        <v>18</v>
      </c>
      <c r="G65" s="67">
        <f>G41</f>
        <v>201.99</v>
      </c>
      <c r="H65" s="194">
        <f>ABR!H50</f>
        <v>8</v>
      </c>
      <c r="I65" s="100"/>
      <c r="J65" s="100"/>
      <c r="K65" s="51"/>
    </row>
    <row r="66" spans="1:1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51"/>
    </row>
    <row r="67" spans="1:11">
      <c r="A67" s="100"/>
      <c r="B67" s="100"/>
      <c r="C67" s="100"/>
      <c r="D67" s="100"/>
      <c r="E67" s="179">
        <f>SUM(E62:E66)</f>
        <v>2048.16</v>
      </c>
      <c r="F67" s="180">
        <f>SUM(F62:F66)</f>
        <v>67</v>
      </c>
      <c r="G67" s="179">
        <f>SUM(G62:G65)</f>
        <v>872.73</v>
      </c>
      <c r="H67" s="180">
        <f>SUM(H62:H65)</f>
        <v>29</v>
      </c>
      <c r="I67" s="100"/>
      <c r="J67" s="100"/>
      <c r="K67" s="51"/>
    </row>
    <row r="68" spans="1:11">
      <c r="A68" s="100"/>
      <c r="B68" s="100"/>
      <c r="C68" s="100"/>
      <c r="D68" s="100"/>
      <c r="E68" s="100"/>
      <c r="F68" s="100"/>
      <c r="G68" s="100"/>
      <c r="H68" s="100"/>
      <c r="I68" s="100"/>
      <c r="J68" s="100"/>
    </row>
    <row r="69" spans="1:11">
      <c r="A69" s="100"/>
      <c r="B69" s="100"/>
      <c r="C69" s="100"/>
      <c r="D69" s="100"/>
      <c r="E69" s="100"/>
      <c r="F69" s="100"/>
      <c r="G69" s="100"/>
      <c r="H69" s="100"/>
      <c r="I69" s="100"/>
      <c r="J69" s="100"/>
    </row>
    <row r="70" spans="1:11">
      <c r="A70" s="51"/>
      <c r="B70" s="51"/>
      <c r="C70" s="51"/>
      <c r="D70" s="51"/>
      <c r="E70" s="51"/>
      <c r="F70" s="51"/>
      <c r="G70" s="51"/>
      <c r="H70" s="51"/>
      <c r="I70" s="51"/>
      <c r="J70" s="51"/>
    </row>
    <row r="71" spans="1:11">
      <c r="A71" s="51"/>
      <c r="B71" s="51"/>
      <c r="C71" s="51"/>
      <c r="D71" s="51"/>
      <c r="E71" s="51"/>
      <c r="F71" s="51"/>
      <c r="G71" s="51"/>
      <c r="H71" s="51"/>
      <c r="I71" s="51"/>
      <c r="J71" s="51"/>
    </row>
    <row r="72" spans="1:11">
      <c r="A72" s="51"/>
      <c r="B72" s="51"/>
      <c r="C72" s="51"/>
      <c r="D72" s="51"/>
      <c r="E72" s="51"/>
      <c r="F72" s="51"/>
      <c r="G72" s="51"/>
      <c r="H72" s="51"/>
      <c r="I72" s="51"/>
      <c r="J72" s="51"/>
    </row>
    <row r="73" spans="1:11">
      <c r="A73" s="51"/>
      <c r="B73" s="51"/>
      <c r="C73" s="51"/>
      <c r="D73" s="51"/>
      <c r="E73" s="51"/>
      <c r="F73" s="51"/>
      <c r="G73" s="51"/>
      <c r="H73" s="51"/>
      <c r="I73" s="51"/>
      <c r="J73" s="51"/>
    </row>
    <row r="74" spans="1:11">
      <c r="A74" s="51"/>
      <c r="B74" s="51"/>
      <c r="C74" s="51"/>
      <c r="D74" s="51"/>
      <c r="E74" s="51"/>
      <c r="F74" s="51"/>
      <c r="G74" s="51"/>
      <c r="H74" s="51"/>
      <c r="I74" s="51"/>
      <c r="J74" s="51"/>
    </row>
    <row r="75" spans="1:11">
      <c r="A75" s="51"/>
      <c r="B75" s="51"/>
      <c r="C75" s="51"/>
      <c r="D75" s="51"/>
      <c r="E75" s="51"/>
      <c r="F75" s="51"/>
      <c r="G75" s="51"/>
      <c r="H75" s="51"/>
      <c r="I75" s="51"/>
      <c r="J75" s="51"/>
    </row>
    <row r="76" spans="1:11">
      <c r="A76" s="51"/>
      <c r="B76" s="51"/>
      <c r="C76" s="51"/>
      <c r="D76" s="51"/>
      <c r="E76" s="51"/>
      <c r="F76" s="51"/>
      <c r="G76" s="51"/>
      <c r="H76" s="51"/>
      <c r="I76" s="51"/>
      <c r="J76" s="51"/>
    </row>
    <row r="77" spans="1:11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>
      <c r="A81" s="51"/>
      <c r="B81" s="51"/>
      <c r="C81" s="51"/>
      <c r="D81" s="51"/>
      <c r="E81" s="51"/>
      <c r="F81" s="51"/>
      <c r="G81" s="51"/>
      <c r="H81" s="51"/>
      <c r="I81" s="51"/>
      <c r="J81" s="51"/>
    </row>
  </sheetData>
  <mergeCells count="106">
    <mergeCell ref="E48:F48"/>
    <mergeCell ref="C47:D47"/>
    <mergeCell ref="E47:F47"/>
    <mergeCell ref="D31:E31"/>
    <mergeCell ref="D30:E30"/>
    <mergeCell ref="E60:F60"/>
    <mergeCell ref="G60:H60"/>
    <mergeCell ref="C55:E55"/>
    <mergeCell ref="F56:G56"/>
    <mergeCell ref="E50:F50"/>
    <mergeCell ref="C53:E53"/>
    <mergeCell ref="F53:G53"/>
    <mergeCell ref="E58:H58"/>
    <mergeCell ref="C54:E54"/>
    <mergeCell ref="F54:G54"/>
    <mergeCell ref="F55:G55"/>
    <mergeCell ref="D37:E37"/>
    <mergeCell ref="H35:J35"/>
    <mergeCell ref="H36:J36"/>
    <mergeCell ref="H37:J37"/>
    <mergeCell ref="F37:G37"/>
    <mergeCell ref="F38:G38"/>
    <mergeCell ref="C49:D49"/>
    <mergeCell ref="E49:F49"/>
    <mergeCell ref="D41:E41"/>
    <mergeCell ref="D36:E36"/>
    <mergeCell ref="C48:D48"/>
    <mergeCell ref="D10:E10"/>
    <mergeCell ref="F10:G10"/>
    <mergeCell ref="H10:J10"/>
    <mergeCell ref="D11:E11"/>
    <mergeCell ref="F11:G11"/>
    <mergeCell ref="D12:E12"/>
    <mergeCell ref="F12:G12"/>
    <mergeCell ref="D34:E34"/>
    <mergeCell ref="H30:J30"/>
    <mergeCell ref="H26:J26"/>
    <mergeCell ref="H28:J28"/>
    <mergeCell ref="H27:J27"/>
    <mergeCell ref="D26:E26"/>
    <mergeCell ref="F26:G26"/>
    <mergeCell ref="D22:E22"/>
    <mergeCell ref="F22:G22"/>
    <mergeCell ref="D23:E23"/>
    <mergeCell ref="D24:E24"/>
    <mergeCell ref="D33:E33"/>
    <mergeCell ref="H22:J22"/>
    <mergeCell ref="D25:E25"/>
    <mergeCell ref="D28:E28"/>
    <mergeCell ref="D32:E32"/>
    <mergeCell ref="D13:E13"/>
    <mergeCell ref="F13:G13"/>
    <mergeCell ref="D14:E14"/>
    <mergeCell ref="F14:G14"/>
    <mergeCell ref="D16:E16"/>
    <mergeCell ref="F16:G16"/>
    <mergeCell ref="F20:G20"/>
    <mergeCell ref="F31:G31"/>
    <mergeCell ref="F19:G19"/>
    <mergeCell ref="D20:E20"/>
    <mergeCell ref="D15:E15"/>
    <mergeCell ref="F15:G15"/>
    <mergeCell ref="F17:G17"/>
    <mergeCell ref="D27:E27"/>
    <mergeCell ref="H34:J34"/>
    <mergeCell ref="H19:J19"/>
    <mergeCell ref="H18:J18"/>
    <mergeCell ref="H24:J24"/>
    <mergeCell ref="H25:J25"/>
    <mergeCell ref="F21:G21"/>
    <mergeCell ref="H21:J21"/>
    <mergeCell ref="H23:J23"/>
    <mergeCell ref="F23:G23"/>
    <mergeCell ref="F24:G24"/>
    <mergeCell ref="H29:J29"/>
    <mergeCell ref="H31:J31"/>
    <mergeCell ref="H32:J32"/>
    <mergeCell ref="F33:G33"/>
    <mergeCell ref="H33:J33"/>
    <mergeCell ref="H20:J20"/>
    <mergeCell ref="F28:G28"/>
    <mergeCell ref="F25:G25"/>
    <mergeCell ref="E7:H7"/>
    <mergeCell ref="H38:J38"/>
    <mergeCell ref="C45:D45"/>
    <mergeCell ref="E45:F45"/>
    <mergeCell ref="C46:D46"/>
    <mergeCell ref="E46:F46"/>
    <mergeCell ref="D38:E38"/>
    <mergeCell ref="C44:D44"/>
    <mergeCell ref="E44:F44"/>
    <mergeCell ref="F39:G39"/>
    <mergeCell ref="D18:E18"/>
    <mergeCell ref="F18:G18"/>
    <mergeCell ref="D17:E17"/>
    <mergeCell ref="D21:E21"/>
    <mergeCell ref="F32:G32"/>
    <mergeCell ref="F35:G35"/>
    <mergeCell ref="F36:G36"/>
    <mergeCell ref="F27:G27"/>
    <mergeCell ref="F30:G30"/>
    <mergeCell ref="D29:E29"/>
    <mergeCell ref="F29:G29"/>
    <mergeCell ref="D35:E35"/>
    <mergeCell ref="D19:E19"/>
    <mergeCell ref="F34:G34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3"/>
  <sheetViews>
    <sheetView showGridLines="0" zoomScaleNormal="100" workbookViewId="0">
      <selection activeCell="H11" sqref="H11:H12"/>
    </sheetView>
  </sheetViews>
  <sheetFormatPr defaultColWidth="9.140625" defaultRowHeight="12.75"/>
  <cols>
    <col min="1" max="2" width="4.28515625" style="53" customWidth="1"/>
    <col min="3" max="10" width="12.42578125" style="53" customWidth="1"/>
    <col min="11" max="256" width="11.42578125" style="53" customWidth="1"/>
    <col min="257" max="16384" width="9.140625" style="53"/>
  </cols>
  <sheetData>
    <row r="1" spans="1:11">
      <c r="A1" s="51"/>
      <c r="B1" s="51"/>
      <c r="C1" s="52"/>
      <c r="D1" s="52"/>
      <c r="E1" s="52"/>
      <c r="F1" s="52"/>
      <c r="G1" s="52"/>
      <c r="H1" s="52"/>
      <c r="I1" s="52"/>
      <c r="J1" s="52"/>
      <c r="K1" s="51"/>
    </row>
    <row r="2" spans="1:11">
      <c r="A2" s="55"/>
      <c r="B2" s="55"/>
      <c r="C2" s="51"/>
      <c r="D2" s="51"/>
      <c r="E2" s="51"/>
      <c r="F2" s="51"/>
      <c r="G2" s="51"/>
      <c r="H2" s="51"/>
      <c r="I2" s="51"/>
      <c r="J2" s="51"/>
      <c r="K2" s="51"/>
    </row>
    <row r="3" spans="1:11">
      <c r="A3" s="55"/>
      <c r="B3" s="55"/>
      <c r="C3" s="51"/>
      <c r="D3" s="51"/>
      <c r="E3" s="51"/>
      <c r="F3" s="51"/>
      <c r="G3" s="51"/>
      <c r="H3" s="51"/>
      <c r="I3" s="51"/>
      <c r="J3" s="51"/>
      <c r="K3" s="51"/>
    </row>
    <row r="4" spans="1:11">
      <c r="A4" s="48"/>
      <c r="B4" s="48"/>
      <c r="C4" s="51"/>
      <c r="D4" s="51"/>
      <c r="E4" s="51"/>
      <c r="F4" s="51"/>
      <c r="G4" s="51"/>
      <c r="H4" s="51"/>
      <c r="I4" s="51"/>
      <c r="J4" s="51"/>
      <c r="K4" s="51"/>
    </row>
    <row r="5" spans="1:11">
      <c r="A5" s="55"/>
      <c r="B5" s="55"/>
      <c r="C5" s="51"/>
      <c r="D5" s="51"/>
      <c r="E5" s="51"/>
      <c r="F5" s="51"/>
      <c r="G5" s="51"/>
      <c r="H5" s="51"/>
      <c r="I5" s="51"/>
      <c r="J5" s="51"/>
      <c r="K5" s="51"/>
    </row>
    <row r="6" spans="1:11">
      <c r="A6" s="48"/>
      <c r="B6" s="48"/>
      <c r="C6" s="51"/>
      <c r="D6" s="51"/>
      <c r="E6" s="51"/>
      <c r="F6" s="51"/>
      <c r="G6" s="51"/>
      <c r="H6" s="51"/>
      <c r="I6" s="51"/>
      <c r="J6" s="51"/>
      <c r="K6" s="51"/>
    </row>
    <row r="7" spans="1:11" ht="18.75">
      <c r="A7" s="48"/>
      <c r="B7" s="48"/>
      <c r="C7" s="51"/>
      <c r="D7" s="51"/>
      <c r="E7" s="272" t="s">
        <v>1</v>
      </c>
      <c r="F7" s="272"/>
      <c r="G7" s="272"/>
      <c r="H7" s="272"/>
      <c r="I7" s="186" t="s">
        <v>45</v>
      </c>
      <c r="J7" s="187">
        <f>CARÁT!$F$16</f>
        <v>2023</v>
      </c>
      <c r="K7" s="51"/>
    </row>
    <row r="8" spans="1:11">
      <c r="A8" s="48"/>
      <c r="B8" s="48"/>
      <c r="C8" s="51"/>
      <c r="D8" s="51"/>
      <c r="E8" s="51"/>
      <c r="F8" s="51"/>
      <c r="G8" s="51"/>
      <c r="H8" s="51"/>
      <c r="I8" s="51"/>
      <c r="J8" s="51"/>
      <c r="K8" s="51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51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51"/>
    </row>
    <row r="11" spans="1:11">
      <c r="A11" s="153"/>
      <c r="B11" s="153">
        <v>38</v>
      </c>
      <c r="C11" s="156">
        <v>45057</v>
      </c>
      <c r="D11" s="326" t="s">
        <v>8</v>
      </c>
      <c r="E11" s="326"/>
      <c r="F11" s="275">
        <v>36720</v>
      </c>
      <c r="G11" s="275"/>
      <c r="H11" s="157" t="s">
        <v>9</v>
      </c>
      <c r="I11" s="157"/>
      <c r="J11" s="157"/>
      <c r="K11" s="51"/>
    </row>
    <row r="12" spans="1:11">
      <c r="A12" s="153"/>
      <c r="B12" s="153">
        <v>39</v>
      </c>
      <c r="C12" s="156">
        <v>45064</v>
      </c>
      <c r="D12" s="327" t="s">
        <v>8</v>
      </c>
      <c r="E12" s="327"/>
      <c r="F12" s="275">
        <v>24180</v>
      </c>
      <c r="G12" s="275"/>
      <c r="H12" s="157" t="s">
        <v>9</v>
      </c>
      <c r="I12" s="157"/>
      <c r="J12" s="157"/>
      <c r="K12" s="51"/>
    </row>
    <row r="13" spans="1:11">
      <c r="A13" s="153"/>
      <c r="B13" s="153"/>
      <c r="C13" s="156"/>
      <c r="D13" s="327"/>
      <c r="E13" s="327"/>
      <c r="F13" s="275"/>
      <c r="G13" s="275"/>
      <c r="H13" s="157"/>
      <c r="I13" s="157"/>
      <c r="J13" s="157"/>
      <c r="K13" s="51"/>
    </row>
    <row r="14" spans="1:11">
      <c r="A14" s="153"/>
      <c r="B14" s="153"/>
      <c r="C14" s="156"/>
      <c r="D14" s="327"/>
      <c r="E14" s="327"/>
      <c r="F14" s="275"/>
      <c r="G14" s="275"/>
      <c r="H14" s="157"/>
      <c r="I14" s="157"/>
      <c r="J14" s="157"/>
      <c r="K14" s="51"/>
    </row>
    <row r="15" spans="1:11">
      <c r="A15" s="153"/>
      <c r="B15" s="153"/>
      <c r="C15" s="156"/>
      <c r="D15" s="327"/>
      <c r="E15" s="327"/>
      <c r="F15" s="275"/>
      <c r="G15" s="275"/>
      <c r="H15" s="157"/>
      <c r="I15" s="157"/>
      <c r="J15" s="157"/>
      <c r="K15" s="51"/>
    </row>
    <row r="16" spans="1:11">
      <c r="A16" s="153"/>
      <c r="B16" s="153"/>
      <c r="C16" s="156"/>
      <c r="D16" s="327"/>
      <c r="E16" s="327"/>
      <c r="F16" s="296"/>
      <c r="G16" s="296"/>
      <c r="H16" s="273"/>
      <c r="I16" s="273"/>
      <c r="J16" s="273"/>
      <c r="K16" s="51"/>
    </row>
    <row r="17" spans="1:11">
      <c r="A17" s="153"/>
      <c r="B17" s="153"/>
      <c r="C17" s="156"/>
      <c r="D17" s="327"/>
      <c r="E17" s="327"/>
      <c r="F17" s="274"/>
      <c r="G17" s="274"/>
      <c r="H17" s="273"/>
      <c r="I17" s="273"/>
      <c r="J17" s="273"/>
      <c r="K17" s="51"/>
    </row>
    <row r="18" spans="1:11">
      <c r="A18" s="153"/>
      <c r="B18" s="153"/>
      <c r="C18" s="156"/>
      <c r="D18" s="327"/>
      <c r="E18" s="327"/>
      <c r="F18" s="274"/>
      <c r="G18" s="274"/>
      <c r="H18" s="273"/>
      <c r="I18" s="273"/>
      <c r="J18" s="273"/>
      <c r="K18" s="51"/>
    </row>
    <row r="19" spans="1:11">
      <c r="A19" s="153"/>
      <c r="B19" s="153"/>
      <c r="C19" s="156"/>
      <c r="D19" s="327"/>
      <c r="E19" s="327"/>
      <c r="F19" s="274"/>
      <c r="G19" s="274"/>
      <c r="H19" s="273"/>
      <c r="I19" s="273"/>
      <c r="J19" s="273"/>
      <c r="K19" s="51"/>
    </row>
    <row r="20" spans="1:11">
      <c r="A20" s="153"/>
      <c r="B20" s="153"/>
      <c r="C20" s="156"/>
      <c r="D20" s="327"/>
      <c r="E20" s="327"/>
      <c r="F20" s="274"/>
      <c r="G20" s="274"/>
      <c r="H20" s="273"/>
      <c r="I20" s="273"/>
      <c r="J20" s="273"/>
      <c r="K20" s="51"/>
    </row>
    <row r="21" spans="1:11">
      <c r="A21" s="153"/>
      <c r="B21" s="153"/>
      <c r="C21" s="156"/>
      <c r="D21" s="327"/>
      <c r="E21" s="327"/>
      <c r="F21" s="274"/>
      <c r="G21" s="274"/>
      <c r="H21" s="273"/>
      <c r="I21" s="273"/>
      <c r="J21" s="273"/>
      <c r="K21" s="51"/>
    </row>
    <row r="22" spans="1:11">
      <c r="A22" s="153"/>
      <c r="B22" s="153"/>
      <c r="C22" s="156"/>
      <c r="D22" s="327"/>
      <c r="E22" s="327"/>
      <c r="F22" s="274"/>
      <c r="G22" s="274"/>
      <c r="H22" s="273"/>
      <c r="I22" s="273"/>
      <c r="J22" s="273"/>
      <c r="K22" s="51"/>
    </row>
    <row r="23" spans="1:11">
      <c r="A23" s="153"/>
      <c r="B23" s="153"/>
      <c r="C23" s="156"/>
      <c r="D23" s="327"/>
      <c r="E23" s="327"/>
      <c r="F23" s="274"/>
      <c r="G23" s="274"/>
      <c r="H23" s="273"/>
      <c r="I23" s="273"/>
      <c r="J23" s="273"/>
      <c r="K23" s="51"/>
    </row>
    <row r="24" spans="1:11">
      <c r="A24" s="153"/>
      <c r="B24" s="153"/>
      <c r="C24" s="156"/>
      <c r="D24" s="327"/>
      <c r="E24" s="327"/>
      <c r="F24" s="274"/>
      <c r="G24" s="274"/>
      <c r="H24" s="273"/>
      <c r="I24" s="273"/>
      <c r="J24" s="273"/>
      <c r="K24" s="51"/>
    </row>
    <row r="25" spans="1:11">
      <c r="A25" s="153"/>
      <c r="B25" s="153"/>
      <c r="C25" s="156"/>
      <c r="D25" s="327"/>
      <c r="E25" s="327"/>
      <c r="F25" s="274"/>
      <c r="G25" s="274"/>
      <c r="H25" s="273"/>
      <c r="I25" s="273"/>
      <c r="J25" s="273"/>
      <c r="K25" s="51"/>
    </row>
    <row r="26" spans="1:11">
      <c r="A26" s="153"/>
      <c r="B26" s="153"/>
      <c r="C26" s="156"/>
      <c r="D26" s="327"/>
      <c r="E26" s="327"/>
      <c r="F26" s="274"/>
      <c r="G26" s="274"/>
      <c r="H26" s="273"/>
      <c r="I26" s="273"/>
      <c r="J26" s="273"/>
      <c r="K26" s="51"/>
    </row>
    <row r="27" spans="1:11">
      <c r="A27" s="153"/>
      <c r="B27" s="153"/>
      <c r="C27" s="156"/>
      <c r="D27" s="327"/>
      <c r="E27" s="327"/>
      <c r="F27" s="274"/>
      <c r="G27" s="274"/>
      <c r="H27" s="273"/>
      <c r="I27" s="273"/>
      <c r="J27" s="273"/>
      <c r="K27" s="51"/>
    </row>
    <row r="28" spans="1:11">
      <c r="A28" s="153"/>
      <c r="B28" s="153"/>
      <c r="C28" s="156"/>
      <c r="D28" s="327"/>
      <c r="E28" s="327"/>
      <c r="F28" s="274"/>
      <c r="G28" s="274"/>
      <c r="H28" s="273"/>
      <c r="I28" s="273"/>
      <c r="J28" s="273"/>
      <c r="K28" s="51"/>
    </row>
    <row r="29" spans="1:11">
      <c r="A29" s="153"/>
      <c r="B29" s="153"/>
      <c r="C29" s="156"/>
      <c r="D29" s="327"/>
      <c r="E29" s="327"/>
      <c r="F29" s="274"/>
      <c r="G29" s="274"/>
      <c r="H29" s="273"/>
      <c r="I29" s="273"/>
      <c r="J29" s="273"/>
      <c r="K29" s="51"/>
    </row>
    <row r="30" spans="1:11">
      <c r="A30" s="153"/>
      <c r="B30" s="153"/>
      <c r="C30" s="156"/>
      <c r="D30" s="327"/>
      <c r="E30" s="327"/>
      <c r="F30" s="274"/>
      <c r="G30" s="274"/>
      <c r="H30" s="273"/>
      <c r="I30" s="273"/>
      <c r="J30" s="273"/>
      <c r="K30" s="51"/>
    </row>
    <row r="31" spans="1:11">
      <c r="A31" s="153"/>
      <c r="B31" s="153"/>
      <c r="C31" s="156"/>
      <c r="D31" s="327"/>
      <c r="E31" s="327"/>
      <c r="F31" s="274"/>
      <c r="G31" s="274"/>
      <c r="H31" s="273"/>
      <c r="I31" s="273"/>
      <c r="J31" s="273"/>
      <c r="K31" s="51"/>
    </row>
    <row r="32" spans="1:11">
      <c r="A32" s="153"/>
      <c r="B32" s="153"/>
      <c r="C32" s="156"/>
      <c r="D32" s="327"/>
      <c r="E32" s="327"/>
      <c r="F32" s="274"/>
      <c r="G32" s="274"/>
      <c r="H32" s="273"/>
      <c r="I32" s="273"/>
      <c r="J32" s="273"/>
      <c r="K32" s="51"/>
    </row>
    <row r="33" spans="1:11">
      <c r="A33" s="153"/>
      <c r="B33" s="153"/>
      <c r="C33" s="156"/>
      <c r="D33" s="327"/>
      <c r="E33" s="327"/>
      <c r="F33" s="274"/>
      <c r="G33" s="274"/>
      <c r="H33" s="273"/>
      <c r="I33" s="273"/>
      <c r="J33" s="273"/>
      <c r="K33" s="51"/>
    </row>
    <row r="34" spans="1:11">
      <c r="A34" s="153"/>
      <c r="B34" s="153"/>
      <c r="C34" s="156"/>
      <c r="D34" s="273"/>
      <c r="E34" s="273"/>
      <c r="F34" s="274"/>
      <c r="G34" s="274"/>
      <c r="H34" s="273"/>
      <c r="I34" s="273"/>
      <c r="J34" s="153"/>
      <c r="K34" s="51"/>
    </row>
    <row r="35" spans="1:11">
      <c r="A35" s="153"/>
      <c r="B35" s="153"/>
      <c r="C35" s="156"/>
      <c r="D35" s="273"/>
      <c r="E35" s="273"/>
      <c r="F35" s="274"/>
      <c r="G35" s="274"/>
      <c r="H35" s="273"/>
      <c r="I35" s="273"/>
      <c r="J35" s="153"/>
      <c r="K35" s="51"/>
    </row>
    <row r="36" spans="1:11">
      <c r="A36" s="153"/>
      <c r="B36" s="153"/>
      <c r="C36" s="156"/>
      <c r="D36" s="273"/>
      <c r="E36" s="273"/>
      <c r="F36" s="274"/>
      <c r="G36" s="274"/>
      <c r="H36" s="273"/>
      <c r="I36" s="273"/>
      <c r="J36" s="153"/>
      <c r="K36" s="51"/>
    </row>
    <row r="37" spans="1:11">
      <c r="A37" s="153"/>
      <c r="B37" s="153"/>
      <c r="C37" s="156"/>
      <c r="D37" s="273"/>
      <c r="E37" s="273"/>
      <c r="F37" s="274"/>
      <c r="G37" s="274"/>
      <c r="H37" s="273"/>
      <c r="I37" s="273"/>
      <c r="J37" s="153"/>
      <c r="K37" s="51"/>
    </row>
    <row r="38" spans="1:11">
      <c r="A38" s="153"/>
      <c r="B38" s="153"/>
      <c r="C38" s="156"/>
      <c r="D38" s="273"/>
      <c r="E38" s="273"/>
      <c r="F38" s="274"/>
      <c r="G38" s="274"/>
      <c r="H38" s="273"/>
      <c r="I38" s="273"/>
      <c r="J38" s="153"/>
      <c r="K38" s="51"/>
    </row>
    <row r="39" spans="1:11">
      <c r="A39" s="153"/>
      <c r="B39" s="153"/>
      <c r="C39" s="156"/>
      <c r="D39" s="273"/>
      <c r="E39" s="273"/>
      <c r="F39" s="274"/>
      <c r="G39" s="274"/>
      <c r="H39" s="273"/>
      <c r="I39" s="273"/>
      <c r="J39" s="153"/>
      <c r="K39" s="51"/>
    </row>
    <row r="40" spans="1:11">
      <c r="A40" s="153"/>
      <c r="B40" s="153"/>
      <c r="C40" s="156"/>
      <c r="D40" s="327"/>
      <c r="E40" s="327"/>
      <c r="F40" s="274"/>
      <c r="G40" s="274"/>
      <c r="H40" s="273"/>
      <c r="I40" s="273"/>
      <c r="J40" s="273"/>
      <c r="K40" s="51"/>
    </row>
    <row r="41" spans="1:11">
      <c r="A41" s="153"/>
      <c r="B41" s="153"/>
      <c r="C41" s="156"/>
      <c r="D41" s="273"/>
      <c r="E41" s="273"/>
      <c r="F41" s="288"/>
      <c r="G41" s="288"/>
      <c r="H41" s="273"/>
      <c r="I41" s="273"/>
      <c r="J41" s="153"/>
      <c r="K41" s="51"/>
    </row>
    <row r="42" spans="1:11">
      <c r="A42" s="153"/>
      <c r="B42" s="153"/>
      <c r="C42" s="159"/>
      <c r="D42" s="95"/>
      <c r="E42" s="160"/>
      <c r="F42" s="293">
        <f>SUM(F11:G41)</f>
        <v>60900</v>
      </c>
      <c r="G42" s="294"/>
      <c r="H42" s="95"/>
      <c r="I42" s="95"/>
      <c r="J42" s="95"/>
      <c r="K42" s="51"/>
    </row>
    <row r="43" spans="1:11">
      <c r="A43" s="153"/>
      <c r="B43" s="153"/>
      <c r="C43" s="100"/>
      <c r="D43" s="100"/>
      <c r="E43" s="161"/>
      <c r="F43" s="100"/>
      <c r="G43" s="100"/>
      <c r="H43" s="100"/>
      <c r="I43" s="100"/>
      <c r="J43" s="100"/>
      <c r="K43" s="51"/>
    </row>
    <row r="44" spans="1:11">
      <c r="A44" s="153"/>
      <c r="B44" s="153"/>
      <c r="C44" s="100"/>
      <c r="D44" s="289" t="s">
        <v>10</v>
      </c>
      <c r="E44" s="289"/>
      <c r="F44" s="100"/>
      <c r="G44" s="162">
        <f>F42/1000</f>
        <v>60.9</v>
      </c>
      <c r="H44" s="100"/>
      <c r="I44" s="96"/>
      <c r="J44" s="100"/>
      <c r="K44" s="51"/>
    </row>
    <row r="45" spans="1:11">
      <c r="A45" s="153"/>
      <c r="B45" s="153"/>
      <c r="C45" s="100"/>
      <c r="D45" s="100"/>
      <c r="E45" s="100"/>
      <c r="F45" s="100"/>
      <c r="G45" s="100"/>
      <c r="H45" s="100"/>
      <c r="I45" s="100"/>
      <c r="J45" s="100"/>
      <c r="K45" s="51"/>
    </row>
    <row r="46" spans="1:11">
      <c r="A46" s="153"/>
      <c r="B46" s="153"/>
      <c r="C46" s="287" t="s">
        <v>11</v>
      </c>
      <c r="D46" s="287"/>
      <c r="E46" s="287" t="s">
        <v>12</v>
      </c>
      <c r="F46" s="287"/>
      <c r="G46" s="154" t="s">
        <v>13</v>
      </c>
      <c r="H46" s="154" t="s">
        <v>14</v>
      </c>
      <c r="I46" s="100"/>
      <c r="J46" s="100"/>
      <c r="K46" s="51"/>
    </row>
    <row r="47" spans="1:11">
      <c r="A47" s="153"/>
      <c r="B47" s="153"/>
      <c r="C47" s="295" t="s">
        <v>33</v>
      </c>
      <c r="D47" s="295"/>
      <c r="E47" s="274"/>
      <c r="F47" s="274"/>
      <c r="G47" s="163">
        <f>E47/E52</f>
        <v>0</v>
      </c>
      <c r="H47" s="164"/>
      <c r="I47" s="100"/>
      <c r="J47" s="100"/>
      <c r="K47" s="51"/>
    </row>
    <row r="48" spans="1:11">
      <c r="A48" s="153"/>
      <c r="B48" s="153"/>
      <c r="C48" s="273" t="s">
        <v>16</v>
      </c>
      <c r="D48" s="273"/>
      <c r="E48" s="274"/>
      <c r="F48" s="274"/>
      <c r="G48" s="163">
        <f>E48/E52</f>
        <v>0</v>
      </c>
      <c r="H48" s="164"/>
      <c r="I48" s="100"/>
      <c r="J48" s="100"/>
      <c r="K48" s="51"/>
    </row>
    <row r="49" spans="1:11">
      <c r="A49" s="153"/>
      <c r="B49" s="153"/>
      <c r="C49" s="273" t="s">
        <v>15</v>
      </c>
      <c r="D49" s="273"/>
      <c r="E49" s="274">
        <f>F11+F12</f>
        <v>60900</v>
      </c>
      <c r="F49" s="274"/>
      <c r="G49" s="163">
        <f>E49/E52</f>
        <v>1</v>
      </c>
      <c r="H49" s="164">
        <v>2</v>
      </c>
      <c r="I49" s="100"/>
      <c r="J49" s="100"/>
      <c r="K49" s="51"/>
    </row>
    <row r="50" spans="1:11">
      <c r="A50" s="153"/>
      <c r="B50" s="153"/>
      <c r="C50" s="273" t="s">
        <v>18</v>
      </c>
      <c r="D50" s="273"/>
      <c r="E50" s="274"/>
      <c r="F50" s="274"/>
      <c r="G50" s="163">
        <f>E50/E52</f>
        <v>0</v>
      </c>
      <c r="H50" s="164"/>
      <c r="I50" s="100"/>
      <c r="J50" s="100"/>
      <c r="K50" s="51"/>
    </row>
    <row r="51" spans="1:11">
      <c r="A51" s="153"/>
      <c r="B51" s="153"/>
      <c r="C51" s="273" t="s">
        <v>19</v>
      </c>
      <c r="D51" s="273"/>
      <c r="E51" s="274"/>
      <c r="F51" s="274"/>
      <c r="G51" s="163">
        <f>E51/E52</f>
        <v>0</v>
      </c>
      <c r="H51" s="164"/>
      <c r="I51" s="100"/>
      <c r="J51" s="100"/>
      <c r="K51" s="51"/>
    </row>
    <row r="52" spans="1:11">
      <c r="A52" s="153"/>
      <c r="B52" s="153"/>
      <c r="C52" s="165"/>
      <c r="D52" s="166" t="s">
        <v>20</v>
      </c>
      <c r="E52" s="329">
        <f>SUM(E47:F51)</f>
        <v>60900</v>
      </c>
      <c r="F52" s="329"/>
      <c r="G52" s="167">
        <f>SUM(G47:G51)</f>
        <v>1</v>
      </c>
      <c r="H52" s="168">
        <f>SUM(H47:H51)</f>
        <v>2</v>
      </c>
      <c r="I52" s="100"/>
      <c r="J52" s="100"/>
      <c r="K52" s="51"/>
    </row>
    <row r="53" spans="1:11">
      <c r="A53" s="153"/>
      <c r="B53" s="153"/>
      <c r="C53" s="169"/>
      <c r="D53" s="169"/>
      <c r="E53" s="160"/>
      <c r="F53" s="160"/>
      <c r="G53" s="160"/>
      <c r="H53" s="100"/>
      <c r="I53" s="100"/>
      <c r="J53" s="100"/>
      <c r="K53" s="51"/>
    </row>
    <row r="54" spans="1:11">
      <c r="A54" s="153"/>
      <c r="B54" s="153"/>
      <c r="C54" s="283" t="s">
        <v>7</v>
      </c>
      <c r="D54" s="284"/>
      <c r="E54" s="285"/>
      <c r="F54" s="286" t="s">
        <v>6</v>
      </c>
      <c r="G54" s="287"/>
      <c r="H54" s="154" t="s">
        <v>13</v>
      </c>
      <c r="I54" s="100"/>
      <c r="J54" s="100"/>
      <c r="K54" s="51"/>
    </row>
    <row r="55" spans="1:11">
      <c r="A55" s="153"/>
      <c r="B55" s="153"/>
      <c r="C55" s="273" t="s">
        <v>21</v>
      </c>
      <c r="D55" s="273"/>
      <c r="E55" s="273"/>
      <c r="F55" s="282"/>
      <c r="G55" s="282"/>
      <c r="H55" s="163">
        <f>F55/F57</f>
        <v>0</v>
      </c>
      <c r="I55" s="100"/>
      <c r="J55" s="100"/>
      <c r="K55" s="51"/>
    </row>
    <row r="56" spans="1:11">
      <c r="A56" s="153"/>
      <c r="B56" s="153"/>
      <c r="C56" s="273" t="s">
        <v>22</v>
      </c>
      <c r="D56" s="273"/>
      <c r="E56" s="273"/>
      <c r="F56" s="288">
        <f>F42</f>
        <v>60900</v>
      </c>
      <c r="G56" s="288"/>
      <c r="H56" s="163">
        <f>F56/F57</f>
        <v>1</v>
      </c>
      <c r="I56" s="100"/>
      <c r="J56" s="96"/>
      <c r="K56" s="51"/>
    </row>
    <row r="57" spans="1:11">
      <c r="A57" s="153"/>
      <c r="B57" s="153"/>
      <c r="C57" s="100"/>
      <c r="D57" s="100" t="s">
        <v>20</v>
      </c>
      <c r="E57" s="100"/>
      <c r="F57" s="278">
        <f>SUM(F55:G56)</f>
        <v>60900</v>
      </c>
      <c r="G57" s="278"/>
      <c r="H57" s="167">
        <f>SUM(H55:H56)</f>
        <v>1</v>
      </c>
      <c r="I57" s="100"/>
      <c r="J57" s="100"/>
      <c r="K57" s="51"/>
    </row>
    <row r="58" spans="1:11">
      <c r="A58" s="153"/>
      <c r="B58" s="153"/>
      <c r="C58" s="100"/>
      <c r="D58" s="100"/>
      <c r="E58" s="100"/>
      <c r="F58" s="184"/>
      <c r="G58" s="184"/>
      <c r="H58" s="185"/>
      <c r="I58" s="100"/>
      <c r="J58" s="100"/>
      <c r="K58" s="51"/>
    </row>
    <row r="59" spans="1:11">
      <c r="A59" s="153"/>
      <c r="B59" s="153"/>
      <c r="C59" s="100"/>
      <c r="D59" s="51"/>
      <c r="E59" s="279" t="s">
        <v>23</v>
      </c>
      <c r="F59" s="279"/>
      <c r="G59" s="279"/>
      <c r="H59" s="279"/>
      <c r="I59" s="100"/>
      <c r="J59" s="100"/>
      <c r="K59" s="51"/>
    </row>
    <row r="60" spans="1:11">
      <c r="A60" s="153"/>
      <c r="B60" s="153"/>
      <c r="C60" s="100"/>
      <c r="D60" s="174"/>
      <c r="E60" s="100"/>
      <c r="F60" s="100"/>
      <c r="G60" s="100"/>
      <c r="H60" s="100"/>
      <c r="I60" s="100"/>
      <c r="J60" s="100"/>
      <c r="K60" s="51"/>
    </row>
    <row r="61" spans="1:11">
      <c r="A61" s="100"/>
      <c r="B61" s="100"/>
      <c r="C61" s="100"/>
      <c r="D61" s="175" t="s">
        <v>24</v>
      </c>
      <c r="E61" s="276" t="s">
        <v>25</v>
      </c>
      <c r="F61" s="277"/>
      <c r="G61" s="276" t="s">
        <v>26</v>
      </c>
      <c r="H61" s="277"/>
      <c r="I61" s="100"/>
      <c r="J61" s="100"/>
      <c r="K61" s="51"/>
    </row>
    <row r="62" spans="1:11">
      <c r="A62" s="100"/>
      <c r="B62" s="100"/>
      <c r="C62" s="100"/>
      <c r="D62" s="176" t="s">
        <v>27</v>
      </c>
      <c r="E62" s="177" t="s">
        <v>28</v>
      </c>
      <c r="F62" s="177" t="s">
        <v>29</v>
      </c>
      <c r="G62" s="177" t="s">
        <v>28</v>
      </c>
      <c r="H62" s="177" t="s">
        <v>29</v>
      </c>
      <c r="I62" s="100"/>
      <c r="J62" s="100"/>
      <c r="K62" s="51"/>
    </row>
    <row r="63" spans="1:11" s="199" customFormat="1" ht="12">
      <c r="A63" s="100"/>
      <c r="B63" s="100"/>
      <c r="C63" s="100"/>
      <c r="D63" s="190" t="s">
        <v>30</v>
      </c>
      <c r="E63" s="63">
        <f>Comparativo!AY13</f>
        <v>559.32000000000005</v>
      </c>
      <c r="F63" s="208">
        <f>Comparativo!AZ13</f>
        <v>15</v>
      </c>
      <c r="G63" s="63">
        <f>ENE!$G$46</f>
        <v>123.39</v>
      </c>
      <c r="H63" s="189">
        <f>ENE!$H$55</f>
        <v>4</v>
      </c>
      <c r="I63" s="100"/>
      <c r="J63" s="100"/>
      <c r="K63" s="100"/>
    </row>
    <row r="64" spans="1:11">
      <c r="A64" s="100"/>
      <c r="B64" s="100"/>
      <c r="C64" s="100"/>
      <c r="D64" s="190" t="s">
        <v>34</v>
      </c>
      <c r="E64" s="63">
        <f>Comparativo!AY14</f>
        <v>437.76</v>
      </c>
      <c r="F64" s="191">
        <f>Comparativo!AZ14</f>
        <v>19</v>
      </c>
      <c r="G64" s="192">
        <f>FEB!$G$48</f>
        <v>176.79</v>
      </c>
      <c r="H64" s="191">
        <f>FEB!$H$57</f>
        <v>6</v>
      </c>
      <c r="I64" s="100"/>
      <c r="J64" s="100"/>
      <c r="K64" s="51"/>
    </row>
    <row r="65" spans="1:11">
      <c r="A65" s="100"/>
      <c r="B65" s="100"/>
      <c r="C65" s="100"/>
      <c r="D65" s="197" t="s">
        <v>38</v>
      </c>
      <c r="E65" s="63">
        <f>Comparativo!AY15</f>
        <v>541.5</v>
      </c>
      <c r="F65" s="191">
        <f>Comparativo!AZ15</f>
        <v>15</v>
      </c>
      <c r="G65" s="192">
        <f>MAR!$G$43</f>
        <v>370.56</v>
      </c>
      <c r="H65" s="191">
        <f>MAR!$H$51</f>
        <v>11</v>
      </c>
      <c r="I65" s="100"/>
      <c r="J65" s="100"/>
      <c r="K65" s="51"/>
    </row>
    <row r="66" spans="1:11">
      <c r="A66" s="100"/>
      <c r="B66" s="100"/>
      <c r="C66" s="100"/>
      <c r="D66" s="197" t="s">
        <v>44</v>
      </c>
      <c r="E66" s="63">
        <f>Comparativo!AY16</f>
        <v>509.58</v>
      </c>
      <c r="F66" s="191">
        <f>Comparativo!AZ16</f>
        <v>18</v>
      </c>
      <c r="G66" s="61">
        <f>ABR!$G$41</f>
        <v>201.99</v>
      </c>
      <c r="H66" s="191">
        <f>ABR!$H$50</f>
        <v>8</v>
      </c>
      <c r="I66" s="100"/>
      <c r="J66" s="100"/>
      <c r="K66" s="51"/>
    </row>
    <row r="67" spans="1:11">
      <c r="A67" s="100"/>
      <c r="B67" s="100"/>
      <c r="C67" s="100"/>
      <c r="D67" s="178" t="s">
        <v>46</v>
      </c>
      <c r="E67" s="67">
        <f>Comparativo!AY17</f>
        <v>38.22</v>
      </c>
      <c r="F67" s="194">
        <f>Comparativo!AZ17</f>
        <v>2</v>
      </c>
      <c r="G67" s="66">
        <f>G44</f>
        <v>60.9</v>
      </c>
      <c r="H67" s="194">
        <f>MAY!H52</f>
        <v>2</v>
      </c>
      <c r="I67" s="100"/>
      <c r="J67" s="100"/>
      <c r="K67" s="51"/>
    </row>
    <row r="68" spans="1:11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51"/>
    </row>
    <row r="69" spans="1:11">
      <c r="A69" s="100"/>
      <c r="B69" s="100"/>
      <c r="C69" s="100"/>
      <c r="D69" s="100"/>
      <c r="E69" s="179">
        <f>SUM(E63:E68)</f>
        <v>2086.3799999999997</v>
      </c>
      <c r="F69" s="180">
        <f>SUM(F63:F68)</f>
        <v>69</v>
      </c>
      <c r="G69" s="179">
        <f>SUM(G63:G67)</f>
        <v>933.63</v>
      </c>
      <c r="H69" s="180">
        <f>SUM(H63:H67)</f>
        <v>31</v>
      </c>
      <c r="I69" s="100"/>
      <c r="J69" s="100"/>
      <c r="K69" s="51"/>
    </row>
    <row r="70" spans="1:11">
      <c r="A70" s="100"/>
      <c r="B70" s="100"/>
      <c r="C70" s="100"/>
      <c r="D70" s="100"/>
      <c r="E70" s="100"/>
      <c r="F70" s="100"/>
      <c r="G70" s="100"/>
      <c r="H70" s="100"/>
      <c r="I70" s="100"/>
      <c r="J70" s="100"/>
    </row>
    <row r="71" spans="1:11">
      <c r="A71" s="100"/>
      <c r="B71" s="100"/>
      <c r="C71" s="100"/>
      <c r="D71" s="100"/>
      <c r="E71" s="100"/>
      <c r="F71" s="100"/>
      <c r="G71" s="100"/>
      <c r="H71" s="100"/>
      <c r="I71" s="100"/>
      <c r="J71" s="100"/>
    </row>
    <row r="72" spans="1:11">
      <c r="A72" s="51"/>
      <c r="B72" s="51"/>
      <c r="C72" s="51"/>
      <c r="D72" s="51"/>
      <c r="E72" s="51"/>
      <c r="F72" s="51"/>
      <c r="G72" s="51"/>
      <c r="H72" s="51"/>
      <c r="I72" s="51"/>
      <c r="J72" s="51"/>
    </row>
    <row r="73" spans="1:11">
      <c r="A73" s="51"/>
      <c r="B73" s="51"/>
      <c r="C73" s="51"/>
      <c r="D73" s="51"/>
      <c r="E73" s="51"/>
      <c r="F73" s="51"/>
      <c r="G73" s="51"/>
      <c r="H73" s="51"/>
      <c r="I73" s="51"/>
      <c r="J73" s="51"/>
    </row>
    <row r="74" spans="1:11">
      <c r="A74" s="51"/>
      <c r="B74" s="51"/>
      <c r="C74" s="51"/>
      <c r="D74" s="51"/>
      <c r="E74" s="51"/>
      <c r="F74" s="51"/>
      <c r="G74" s="51"/>
      <c r="H74" s="51"/>
      <c r="I74" s="51"/>
      <c r="J74" s="51"/>
    </row>
    <row r="75" spans="1:11">
      <c r="A75" s="51"/>
      <c r="B75" s="51"/>
      <c r="C75" s="51"/>
      <c r="D75" s="51"/>
      <c r="E75" s="51"/>
      <c r="F75" s="51"/>
      <c r="G75" s="51"/>
      <c r="H75" s="51"/>
      <c r="I75" s="51"/>
      <c r="J75" s="51"/>
    </row>
    <row r="76" spans="1:11">
      <c r="A76" s="51"/>
      <c r="B76" s="51"/>
      <c r="C76" s="51"/>
      <c r="D76" s="51"/>
      <c r="E76" s="51"/>
      <c r="F76" s="51"/>
      <c r="G76" s="51"/>
      <c r="H76" s="51"/>
      <c r="I76" s="51"/>
      <c r="J76" s="51"/>
    </row>
    <row r="77" spans="1:11">
      <c r="A77" s="51"/>
      <c r="B77" s="51"/>
      <c r="C77" s="51"/>
      <c r="D77" s="51"/>
      <c r="E77" s="51"/>
      <c r="F77" s="51"/>
      <c r="G77" s="51"/>
      <c r="H77" s="51"/>
      <c r="I77" s="51"/>
      <c r="J77" s="51"/>
    </row>
    <row r="78" spans="1:11">
      <c r="A78" s="51"/>
      <c r="B78" s="51"/>
      <c r="C78" s="51"/>
      <c r="D78" s="51"/>
      <c r="E78" s="51"/>
      <c r="F78" s="51"/>
      <c r="G78" s="51"/>
      <c r="H78" s="51"/>
      <c r="I78" s="51"/>
      <c r="J78" s="51"/>
    </row>
    <row r="79" spans="1:11">
      <c r="A79" s="51"/>
      <c r="B79" s="51"/>
      <c r="C79" s="51"/>
      <c r="D79" s="51"/>
      <c r="E79" s="51"/>
      <c r="F79" s="51"/>
      <c r="G79" s="51"/>
      <c r="H79" s="51"/>
      <c r="I79" s="51"/>
      <c r="J79" s="51"/>
    </row>
    <row r="80" spans="1:11">
      <c r="A80" s="51"/>
      <c r="B80" s="51"/>
      <c r="C80" s="51"/>
      <c r="D80" s="51"/>
      <c r="E80" s="51"/>
      <c r="F80" s="51"/>
      <c r="G80" s="51"/>
      <c r="H80" s="51"/>
      <c r="I80" s="51"/>
      <c r="J80" s="51"/>
    </row>
    <row r="81" spans="1:10">
      <c r="A81" s="51"/>
      <c r="B81" s="51"/>
      <c r="C81" s="51"/>
      <c r="D81" s="51"/>
      <c r="E81" s="51"/>
      <c r="F81" s="51"/>
      <c r="G81" s="51"/>
      <c r="H81" s="51"/>
      <c r="I81" s="51"/>
      <c r="J81" s="51"/>
    </row>
    <row r="82" spans="1:10">
      <c r="A82" s="51"/>
      <c r="B82" s="51"/>
      <c r="C82" s="51"/>
      <c r="D82" s="51"/>
      <c r="E82" s="51"/>
      <c r="F82" s="51"/>
      <c r="G82" s="51"/>
      <c r="H82" s="51"/>
      <c r="I82" s="51"/>
      <c r="J82" s="51"/>
    </row>
    <row r="83" spans="1:10">
      <c r="A83" s="51"/>
      <c r="B83" s="51"/>
      <c r="C83" s="51"/>
      <c r="D83" s="51"/>
      <c r="E83" s="51"/>
      <c r="F83" s="51"/>
      <c r="G83" s="51"/>
      <c r="H83" s="51"/>
      <c r="I83" s="51"/>
      <c r="J83" s="51"/>
    </row>
  </sheetData>
  <mergeCells count="117">
    <mergeCell ref="F36:G36"/>
    <mergeCell ref="F38:G38"/>
    <mergeCell ref="H41:I41"/>
    <mergeCell ref="D44:E44"/>
    <mergeCell ref="H26:J26"/>
    <mergeCell ref="D22:E22"/>
    <mergeCell ref="F22:G22"/>
    <mergeCell ref="D30:E30"/>
    <mergeCell ref="F30:G30"/>
    <mergeCell ref="D35:E35"/>
    <mergeCell ref="D26:E26"/>
    <mergeCell ref="H39:I39"/>
    <mergeCell ref="F26:G26"/>
    <mergeCell ref="H36:I36"/>
    <mergeCell ref="D32:E32"/>
    <mergeCell ref="H29:J29"/>
    <mergeCell ref="D29:E29"/>
    <mergeCell ref="F29:G29"/>
    <mergeCell ref="D34:E34"/>
    <mergeCell ref="H34:I34"/>
    <mergeCell ref="H38:I38"/>
    <mergeCell ref="D23:E23"/>
    <mergeCell ref="F34:G34"/>
    <mergeCell ref="F33:G33"/>
    <mergeCell ref="H40:J40"/>
    <mergeCell ref="F54:G54"/>
    <mergeCell ref="E50:F50"/>
    <mergeCell ref="C50:D50"/>
    <mergeCell ref="F41:G41"/>
    <mergeCell ref="E47:F47"/>
    <mergeCell ref="D37:E37"/>
    <mergeCell ref="F37:G37"/>
    <mergeCell ref="D38:E38"/>
    <mergeCell ref="D40:E40"/>
    <mergeCell ref="F40:G40"/>
    <mergeCell ref="D39:E39"/>
    <mergeCell ref="F39:G39"/>
    <mergeCell ref="E48:F48"/>
    <mergeCell ref="E49:F49"/>
    <mergeCell ref="C49:D49"/>
    <mergeCell ref="C48:D48"/>
    <mergeCell ref="E46:F46"/>
    <mergeCell ref="C46:D46"/>
    <mergeCell ref="F42:G42"/>
    <mergeCell ref="D41:E41"/>
    <mergeCell ref="F21:G21"/>
    <mergeCell ref="F35:G35"/>
    <mergeCell ref="E59:H59"/>
    <mergeCell ref="E61:F61"/>
    <mergeCell ref="G61:H61"/>
    <mergeCell ref="C51:D51"/>
    <mergeCell ref="E51:F51"/>
    <mergeCell ref="E52:F52"/>
    <mergeCell ref="D28:E28"/>
    <mergeCell ref="F57:G57"/>
    <mergeCell ref="F28:G28"/>
    <mergeCell ref="H28:J28"/>
    <mergeCell ref="D33:E33"/>
    <mergeCell ref="H33:J33"/>
    <mergeCell ref="C56:E56"/>
    <mergeCell ref="C54:E54"/>
    <mergeCell ref="D31:E31"/>
    <mergeCell ref="F31:G31"/>
    <mergeCell ref="H37:I37"/>
    <mergeCell ref="H35:I35"/>
    <mergeCell ref="F56:G56"/>
    <mergeCell ref="C47:D47"/>
    <mergeCell ref="F55:G55"/>
    <mergeCell ref="C55:E55"/>
    <mergeCell ref="F14:G14"/>
    <mergeCell ref="D36:E36"/>
    <mergeCell ref="F13:G13"/>
    <mergeCell ref="F32:G32"/>
    <mergeCell ref="H32:J32"/>
    <mergeCell ref="D16:E16"/>
    <mergeCell ref="F16:G16"/>
    <mergeCell ref="H16:J16"/>
    <mergeCell ref="H22:J22"/>
    <mergeCell ref="D15:E15"/>
    <mergeCell ref="H21:J21"/>
    <mergeCell ref="D20:E20"/>
    <mergeCell ref="F15:G15"/>
    <mergeCell ref="D17:E17"/>
    <mergeCell ref="F17:G17"/>
    <mergeCell ref="H17:J17"/>
    <mergeCell ref="D18:E18"/>
    <mergeCell ref="D19:E19"/>
    <mergeCell ref="F19:G19"/>
    <mergeCell ref="H19:J19"/>
    <mergeCell ref="H30:J30"/>
    <mergeCell ref="H18:J18"/>
    <mergeCell ref="F18:G18"/>
    <mergeCell ref="D21:E21"/>
    <mergeCell ref="D13:E13"/>
    <mergeCell ref="D27:E27"/>
    <mergeCell ref="E7:H7"/>
    <mergeCell ref="D24:E24"/>
    <mergeCell ref="F24:G24"/>
    <mergeCell ref="H24:J24"/>
    <mergeCell ref="D25:E25"/>
    <mergeCell ref="H31:J31"/>
    <mergeCell ref="F25:G25"/>
    <mergeCell ref="H25:J25"/>
    <mergeCell ref="F27:G27"/>
    <mergeCell ref="H27:J27"/>
    <mergeCell ref="D10:E10"/>
    <mergeCell ref="F10:G10"/>
    <mergeCell ref="D11:E11"/>
    <mergeCell ref="F11:G11"/>
    <mergeCell ref="H10:J10"/>
    <mergeCell ref="F23:G23"/>
    <mergeCell ref="H23:J23"/>
    <mergeCell ref="F20:G20"/>
    <mergeCell ref="H20:J20"/>
    <mergeCell ref="D12:E12"/>
    <mergeCell ref="F12:G12"/>
    <mergeCell ref="D14:E14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8"/>
  <sheetViews>
    <sheetView showGridLines="0" zoomScaleNormal="100" workbookViewId="0">
      <selection activeCell="H38" sqref="H38"/>
    </sheetView>
  </sheetViews>
  <sheetFormatPr defaultColWidth="9.140625" defaultRowHeight="12"/>
  <cols>
    <col min="1" max="2" width="4.28515625" style="199" customWidth="1"/>
    <col min="3" max="10" width="12.42578125" style="199" customWidth="1"/>
    <col min="11" max="256" width="11.42578125" style="199" customWidth="1"/>
    <col min="257" max="16384" width="9.140625" style="199"/>
  </cols>
  <sheetData>
    <row r="1" spans="1:11">
      <c r="A1" s="100"/>
      <c r="B1" s="100"/>
      <c r="C1" s="152"/>
      <c r="D1" s="152"/>
      <c r="E1" s="152"/>
      <c r="F1" s="152"/>
      <c r="G1" s="152"/>
      <c r="H1" s="152"/>
      <c r="I1" s="152"/>
      <c r="J1" s="152"/>
      <c r="K1" s="100"/>
    </row>
    <row r="2" spans="1:11">
      <c r="A2" s="153"/>
      <c r="B2" s="153"/>
      <c r="C2" s="100"/>
      <c r="D2" s="100"/>
      <c r="E2" s="100"/>
      <c r="F2" s="100"/>
      <c r="G2" s="100"/>
      <c r="H2" s="100"/>
      <c r="I2" s="100"/>
      <c r="J2" s="100"/>
      <c r="K2" s="100"/>
    </row>
    <row r="3" spans="1:11">
      <c r="A3" s="153"/>
      <c r="B3" s="153"/>
      <c r="C3" s="100"/>
      <c r="D3" s="100"/>
      <c r="E3" s="100"/>
      <c r="F3" s="100"/>
      <c r="G3" s="100"/>
      <c r="H3" s="100"/>
      <c r="I3" s="100"/>
      <c r="J3" s="100"/>
      <c r="K3" s="100"/>
    </row>
    <row r="4" spans="1:11">
      <c r="A4" s="210"/>
      <c r="B4" s="210"/>
      <c r="C4" s="100"/>
      <c r="D4" s="100"/>
      <c r="E4" s="100"/>
      <c r="F4" s="100"/>
      <c r="G4" s="100"/>
      <c r="H4" s="100"/>
      <c r="I4" s="100"/>
      <c r="J4" s="100"/>
      <c r="K4" s="100"/>
    </row>
    <row r="5" spans="1:11">
      <c r="A5" s="153"/>
      <c r="B5" s="153"/>
      <c r="C5" s="100"/>
      <c r="D5" s="100"/>
      <c r="E5" s="100"/>
      <c r="F5" s="100"/>
      <c r="G5" s="100"/>
      <c r="H5" s="100"/>
      <c r="I5" s="100"/>
      <c r="J5" s="100"/>
      <c r="K5" s="100"/>
    </row>
    <row r="6" spans="1:11">
      <c r="A6" s="210"/>
      <c r="B6" s="210"/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8.75">
      <c r="A7" s="210"/>
      <c r="B7" s="210"/>
      <c r="C7" s="100"/>
      <c r="D7" s="100"/>
      <c r="E7" s="272" t="s">
        <v>1</v>
      </c>
      <c r="F7" s="272"/>
      <c r="G7" s="272"/>
      <c r="H7" s="272"/>
      <c r="I7" s="186" t="s">
        <v>47</v>
      </c>
      <c r="J7" s="187">
        <f>CARÁT!$F$16</f>
        <v>2023</v>
      </c>
      <c r="K7" s="100"/>
    </row>
    <row r="8" spans="1:11">
      <c r="A8" s="210"/>
      <c r="B8" s="210"/>
      <c r="C8" s="100"/>
      <c r="D8" s="100"/>
      <c r="E8" s="100"/>
      <c r="F8" s="100"/>
      <c r="G8" s="100"/>
      <c r="H8" s="100"/>
      <c r="I8" s="100"/>
      <c r="J8" s="100"/>
      <c r="K8" s="100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100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100"/>
    </row>
    <row r="11" spans="1:11">
      <c r="A11" s="153"/>
      <c r="B11" s="153"/>
      <c r="C11" s="156"/>
      <c r="D11" s="326"/>
      <c r="E11" s="326"/>
      <c r="F11" s="275"/>
      <c r="G11" s="275"/>
      <c r="H11" s="273"/>
      <c r="I11" s="273"/>
      <c r="J11" s="273"/>
      <c r="K11" s="100"/>
    </row>
    <row r="12" spans="1:11">
      <c r="A12" s="153"/>
      <c r="B12" s="153"/>
      <c r="C12" s="156"/>
      <c r="D12" s="327"/>
      <c r="E12" s="327"/>
      <c r="F12" s="275"/>
      <c r="G12" s="275"/>
      <c r="H12" s="273"/>
      <c r="I12" s="273"/>
      <c r="J12" s="273"/>
      <c r="K12" s="100"/>
    </row>
    <row r="13" spans="1:11">
      <c r="A13" s="153"/>
      <c r="B13" s="153"/>
      <c r="C13" s="156"/>
      <c r="D13" s="327"/>
      <c r="E13" s="327"/>
      <c r="F13" s="275"/>
      <c r="G13" s="275"/>
      <c r="H13" s="273"/>
      <c r="I13" s="273"/>
      <c r="J13" s="273"/>
      <c r="K13" s="100"/>
    </row>
    <row r="14" spans="1:11">
      <c r="A14" s="153"/>
      <c r="B14" s="153"/>
      <c r="C14" s="156"/>
      <c r="D14" s="327"/>
      <c r="E14" s="327"/>
      <c r="F14" s="275"/>
      <c r="G14" s="275"/>
      <c r="H14" s="273"/>
      <c r="I14" s="273"/>
      <c r="J14" s="273"/>
      <c r="K14" s="100"/>
    </row>
    <row r="15" spans="1:11">
      <c r="A15" s="153"/>
      <c r="B15" s="153"/>
      <c r="C15" s="156"/>
      <c r="D15" s="327"/>
      <c r="E15" s="327"/>
      <c r="F15" s="275"/>
      <c r="G15" s="275"/>
      <c r="H15" s="273"/>
      <c r="I15" s="273"/>
      <c r="J15" s="273"/>
      <c r="K15" s="100"/>
    </row>
    <row r="16" spans="1:11">
      <c r="A16" s="153"/>
      <c r="B16" s="153"/>
      <c r="C16" s="156"/>
      <c r="D16" s="327"/>
      <c r="E16" s="327"/>
      <c r="F16" s="274"/>
      <c r="G16" s="274"/>
      <c r="H16" s="273"/>
      <c r="I16" s="273"/>
      <c r="J16" s="273"/>
      <c r="K16" s="100"/>
    </row>
    <row r="17" spans="1:11">
      <c r="A17" s="153"/>
      <c r="B17" s="153"/>
      <c r="C17" s="156"/>
      <c r="D17" s="327"/>
      <c r="E17" s="327"/>
      <c r="F17" s="274"/>
      <c r="G17" s="274"/>
      <c r="H17" s="273"/>
      <c r="I17" s="273"/>
      <c r="J17" s="273"/>
      <c r="K17" s="100"/>
    </row>
    <row r="18" spans="1:11">
      <c r="A18" s="153"/>
      <c r="B18" s="153"/>
      <c r="C18" s="156"/>
      <c r="D18" s="327"/>
      <c r="E18" s="327"/>
      <c r="F18" s="274"/>
      <c r="G18" s="274"/>
      <c r="H18" s="273"/>
      <c r="I18" s="273"/>
      <c r="J18" s="273"/>
      <c r="K18" s="100"/>
    </row>
    <row r="19" spans="1:11">
      <c r="A19" s="153"/>
      <c r="B19" s="153"/>
      <c r="C19" s="156"/>
      <c r="D19" s="327"/>
      <c r="E19" s="327"/>
      <c r="F19" s="274"/>
      <c r="G19" s="274"/>
      <c r="H19" s="273"/>
      <c r="I19" s="273"/>
      <c r="J19" s="273"/>
      <c r="K19" s="100"/>
    </row>
    <row r="20" spans="1:11">
      <c r="A20" s="153"/>
      <c r="B20" s="153"/>
      <c r="C20" s="156"/>
      <c r="D20" s="327"/>
      <c r="E20" s="327"/>
      <c r="F20" s="274"/>
      <c r="G20" s="274"/>
      <c r="H20" s="273"/>
      <c r="I20" s="273"/>
      <c r="J20" s="273"/>
      <c r="K20" s="100"/>
    </row>
    <row r="21" spans="1:11">
      <c r="A21" s="153"/>
      <c r="B21" s="153"/>
      <c r="C21" s="156"/>
      <c r="D21" s="327"/>
      <c r="E21" s="327"/>
      <c r="F21" s="274"/>
      <c r="G21" s="274"/>
      <c r="H21" s="273"/>
      <c r="I21" s="273"/>
      <c r="J21" s="273"/>
      <c r="K21" s="100"/>
    </row>
    <row r="22" spans="1:11">
      <c r="A22" s="153"/>
      <c r="B22" s="153"/>
      <c r="C22" s="156"/>
      <c r="D22" s="327"/>
      <c r="E22" s="327"/>
      <c r="F22" s="274"/>
      <c r="G22" s="274"/>
      <c r="H22" s="273"/>
      <c r="I22" s="273"/>
      <c r="J22" s="273"/>
      <c r="K22" s="100"/>
    </row>
    <row r="23" spans="1:11">
      <c r="A23" s="153"/>
      <c r="B23" s="153"/>
      <c r="C23" s="156"/>
      <c r="D23" s="327"/>
      <c r="E23" s="327"/>
      <c r="F23" s="274"/>
      <c r="G23" s="274"/>
      <c r="H23" s="273"/>
      <c r="I23" s="273"/>
      <c r="J23" s="273"/>
      <c r="K23" s="100"/>
    </row>
    <row r="24" spans="1:11">
      <c r="A24" s="153"/>
      <c r="B24" s="153"/>
      <c r="C24" s="156"/>
      <c r="D24" s="327"/>
      <c r="E24" s="327"/>
      <c r="F24" s="274"/>
      <c r="G24" s="274"/>
      <c r="H24" s="273"/>
      <c r="I24" s="273"/>
      <c r="J24" s="273"/>
      <c r="K24" s="100"/>
    </row>
    <row r="25" spans="1:11">
      <c r="A25" s="153"/>
      <c r="B25" s="153"/>
      <c r="C25" s="156"/>
      <c r="D25" s="273"/>
      <c r="E25" s="273"/>
      <c r="F25" s="274"/>
      <c r="G25" s="274"/>
      <c r="H25" s="273"/>
      <c r="I25" s="273"/>
      <c r="J25" s="273"/>
      <c r="K25" s="100"/>
    </row>
    <row r="26" spans="1:11">
      <c r="A26" s="153"/>
      <c r="B26" s="153"/>
      <c r="C26" s="156"/>
      <c r="D26" s="273"/>
      <c r="E26" s="273"/>
      <c r="F26" s="274"/>
      <c r="G26" s="274"/>
      <c r="H26" s="273"/>
      <c r="I26" s="273"/>
      <c r="J26" s="273"/>
      <c r="K26" s="100"/>
    </row>
    <row r="27" spans="1:11">
      <c r="A27" s="153"/>
      <c r="B27" s="153"/>
      <c r="C27" s="156"/>
      <c r="D27" s="273"/>
      <c r="E27" s="273"/>
      <c r="F27" s="274"/>
      <c r="G27" s="274"/>
      <c r="H27" s="273"/>
      <c r="I27" s="273"/>
      <c r="J27" s="273"/>
      <c r="K27" s="100"/>
    </row>
    <row r="28" spans="1:11">
      <c r="A28" s="153"/>
      <c r="B28" s="153"/>
      <c r="C28" s="156"/>
      <c r="D28" s="273"/>
      <c r="E28" s="273"/>
      <c r="F28" s="274"/>
      <c r="G28" s="274"/>
      <c r="H28" s="273"/>
      <c r="I28" s="273"/>
      <c r="J28" s="273"/>
      <c r="K28" s="100"/>
    </row>
    <row r="29" spans="1:11">
      <c r="A29" s="153"/>
      <c r="B29" s="153"/>
      <c r="C29" s="156"/>
      <c r="D29" s="273"/>
      <c r="E29" s="273"/>
      <c r="F29" s="274"/>
      <c r="G29" s="274"/>
      <c r="H29" s="273"/>
      <c r="I29" s="273"/>
      <c r="J29" s="273"/>
      <c r="K29" s="100"/>
    </row>
    <row r="30" spans="1:11">
      <c r="A30" s="153"/>
      <c r="B30" s="153"/>
      <c r="C30" s="156"/>
      <c r="D30" s="327"/>
      <c r="E30" s="327"/>
      <c r="F30" s="274"/>
      <c r="G30" s="274"/>
      <c r="H30" s="273"/>
      <c r="I30" s="273"/>
      <c r="J30" s="273"/>
      <c r="K30" s="100"/>
    </row>
    <row r="31" spans="1:11">
      <c r="A31" s="153"/>
      <c r="B31" s="153"/>
      <c r="C31" s="159"/>
      <c r="D31" s="160"/>
      <c r="E31" s="160"/>
      <c r="F31" s="293">
        <f>SUM(F11:G30)</f>
        <v>0</v>
      </c>
      <c r="G31" s="294"/>
      <c r="H31" s="95"/>
      <c r="I31" s="95"/>
      <c r="J31" s="95"/>
      <c r="K31" s="100"/>
    </row>
    <row r="32" spans="1:11">
      <c r="A32" s="153"/>
      <c r="B32" s="153"/>
      <c r="C32" s="100"/>
      <c r="D32" s="100"/>
      <c r="E32" s="161"/>
      <c r="F32" s="100"/>
      <c r="G32" s="100"/>
      <c r="H32" s="100"/>
      <c r="I32" s="100"/>
      <c r="J32" s="100"/>
      <c r="K32" s="100"/>
    </row>
    <row r="33" spans="1:11">
      <c r="A33" s="153"/>
      <c r="B33" s="153"/>
      <c r="C33" s="100"/>
      <c r="D33" s="289" t="s">
        <v>10</v>
      </c>
      <c r="E33" s="289"/>
      <c r="F33" s="100"/>
      <c r="G33" s="162">
        <f>F31/1000</f>
        <v>0</v>
      </c>
      <c r="H33" s="100"/>
      <c r="I33" s="96"/>
      <c r="J33" s="100"/>
      <c r="K33" s="100"/>
    </row>
    <row r="34" spans="1:11">
      <c r="A34" s="153"/>
      <c r="B34" s="153"/>
      <c r="C34" s="100"/>
      <c r="D34" s="100"/>
      <c r="E34" s="161"/>
      <c r="F34" s="100"/>
      <c r="G34" s="100"/>
      <c r="H34" s="100"/>
      <c r="I34" s="100"/>
      <c r="J34" s="100"/>
      <c r="K34" s="100"/>
    </row>
    <row r="35" spans="1:11">
      <c r="A35" s="153"/>
      <c r="B35" s="153"/>
      <c r="C35" s="100"/>
      <c r="D35" s="100"/>
      <c r="E35" s="100"/>
      <c r="F35" s="100"/>
      <c r="G35" s="100"/>
      <c r="H35" s="100"/>
      <c r="I35" s="100"/>
      <c r="J35" s="100"/>
      <c r="K35" s="100"/>
    </row>
    <row r="36" spans="1:11">
      <c r="A36" s="153"/>
      <c r="B36" s="153"/>
      <c r="C36" s="287" t="s">
        <v>11</v>
      </c>
      <c r="D36" s="287"/>
      <c r="E36" s="287" t="s">
        <v>12</v>
      </c>
      <c r="F36" s="287"/>
      <c r="G36" s="154" t="s">
        <v>13</v>
      </c>
      <c r="H36" s="154" t="s">
        <v>14</v>
      </c>
      <c r="I36" s="100"/>
      <c r="J36" s="100"/>
      <c r="K36" s="100"/>
    </row>
    <row r="37" spans="1:11">
      <c r="A37" s="153"/>
      <c r="B37" s="153"/>
      <c r="C37" s="295" t="s">
        <v>33</v>
      </c>
      <c r="D37" s="295"/>
      <c r="E37" s="274"/>
      <c r="F37" s="274"/>
      <c r="G37" s="163" t="e">
        <f>+E37/E42</f>
        <v>#DIV/0!</v>
      </c>
      <c r="H37" s="164"/>
      <c r="I37" s="100"/>
      <c r="J37" s="100"/>
      <c r="K37" s="100"/>
    </row>
    <row r="38" spans="1:11">
      <c r="A38" s="153"/>
      <c r="B38" s="153"/>
      <c r="C38" s="273" t="s">
        <v>16</v>
      </c>
      <c r="D38" s="273"/>
      <c r="E38" s="274">
        <f>F11+F12</f>
        <v>0</v>
      </c>
      <c r="F38" s="274"/>
      <c r="G38" s="163" t="e">
        <f>+E38/E42</f>
        <v>#DIV/0!</v>
      </c>
      <c r="H38" s="164"/>
      <c r="I38" s="100"/>
      <c r="J38" s="100">
        <f>+E38/30</f>
        <v>0</v>
      </c>
      <c r="K38" s="100"/>
    </row>
    <row r="39" spans="1:11">
      <c r="A39" s="153"/>
      <c r="B39" s="153"/>
      <c r="C39" s="273" t="s">
        <v>15</v>
      </c>
      <c r="D39" s="273"/>
      <c r="E39" s="274"/>
      <c r="F39" s="274"/>
      <c r="G39" s="163" t="e">
        <f>+E39/E42</f>
        <v>#DIV/0!</v>
      </c>
      <c r="H39" s="164"/>
      <c r="I39" s="100"/>
      <c r="J39" s="100"/>
      <c r="K39" s="100"/>
    </row>
    <row r="40" spans="1:11">
      <c r="A40" s="153"/>
      <c r="B40" s="153"/>
      <c r="C40" s="273" t="s">
        <v>18</v>
      </c>
      <c r="D40" s="273"/>
      <c r="E40" s="274"/>
      <c r="F40" s="274"/>
      <c r="G40" s="163" t="e">
        <f>+E40/E42</f>
        <v>#DIV/0!</v>
      </c>
      <c r="H40" s="164"/>
      <c r="I40" s="100"/>
      <c r="J40" s="100"/>
      <c r="K40" s="100"/>
    </row>
    <row r="41" spans="1:11">
      <c r="A41" s="153"/>
      <c r="B41" s="153"/>
      <c r="C41" s="273"/>
      <c r="D41" s="273"/>
      <c r="E41" s="274"/>
      <c r="F41" s="274"/>
      <c r="G41" s="163" t="e">
        <f>+E41/E42</f>
        <v>#DIV/0!</v>
      </c>
      <c r="H41" s="164"/>
      <c r="I41" s="100"/>
      <c r="J41" s="100"/>
      <c r="K41" s="100"/>
    </row>
    <row r="42" spans="1:11">
      <c r="A42" s="153"/>
      <c r="B42" s="153"/>
      <c r="C42" s="165"/>
      <c r="D42" s="166" t="s">
        <v>20</v>
      </c>
      <c r="E42" s="329">
        <f>SUM(E37:F41)</f>
        <v>0</v>
      </c>
      <c r="F42" s="329"/>
      <c r="G42" s="167" t="e">
        <f>SUM(G37:G41)</f>
        <v>#DIV/0!</v>
      </c>
      <c r="H42" s="168">
        <f>SUM(H37:H41)</f>
        <v>0</v>
      </c>
      <c r="I42" s="100"/>
      <c r="J42" s="100"/>
      <c r="K42" s="100"/>
    </row>
    <row r="43" spans="1:11">
      <c r="A43" s="153"/>
      <c r="B43" s="153"/>
      <c r="C43" s="169"/>
      <c r="D43" s="169"/>
      <c r="E43" s="160"/>
      <c r="F43" s="160"/>
      <c r="G43" s="160"/>
      <c r="H43" s="100"/>
      <c r="I43" s="100"/>
      <c r="J43" s="100"/>
      <c r="K43" s="100"/>
    </row>
    <row r="44" spans="1:11">
      <c r="A44" s="153"/>
      <c r="B44" s="153"/>
      <c r="C44" s="100"/>
      <c r="D44" s="100"/>
      <c r="E44" s="96"/>
      <c r="F44" s="171"/>
      <c r="G44" s="172"/>
      <c r="H44" s="100"/>
      <c r="I44" s="100"/>
      <c r="J44" s="100"/>
      <c r="K44" s="100"/>
    </row>
    <row r="45" spans="1:11">
      <c r="A45" s="153"/>
      <c r="B45" s="153"/>
      <c r="C45" s="170"/>
      <c r="D45" s="100"/>
      <c r="E45" s="96"/>
      <c r="F45" s="171"/>
      <c r="G45" s="172"/>
      <c r="H45" s="100"/>
      <c r="I45" s="100"/>
      <c r="J45" s="100"/>
      <c r="K45" s="100"/>
    </row>
    <row r="46" spans="1:11">
      <c r="A46" s="153"/>
      <c r="B46" s="153"/>
      <c r="C46" s="283" t="s">
        <v>7</v>
      </c>
      <c r="D46" s="284"/>
      <c r="E46" s="285"/>
      <c r="F46" s="286" t="s">
        <v>6</v>
      </c>
      <c r="G46" s="287"/>
      <c r="H46" s="154" t="s">
        <v>13</v>
      </c>
      <c r="I46" s="100"/>
      <c r="J46" s="100"/>
      <c r="K46" s="100"/>
    </row>
    <row r="47" spans="1:11">
      <c r="A47" s="153"/>
      <c r="B47" s="153"/>
      <c r="C47" s="273" t="s">
        <v>21</v>
      </c>
      <c r="D47" s="273"/>
      <c r="E47" s="273"/>
      <c r="F47" s="158"/>
      <c r="G47" s="158"/>
      <c r="H47" s="163" t="e">
        <f>+G47/F49</f>
        <v>#DIV/0!</v>
      </c>
      <c r="I47" s="100"/>
      <c r="J47" s="100"/>
      <c r="K47" s="100"/>
    </row>
    <row r="48" spans="1:11">
      <c r="A48" s="153"/>
      <c r="B48" s="153"/>
      <c r="C48" s="273" t="s">
        <v>22</v>
      </c>
      <c r="D48" s="273"/>
      <c r="E48" s="273"/>
      <c r="F48" s="158"/>
      <c r="G48" s="158">
        <f>F31</f>
        <v>0</v>
      </c>
      <c r="H48" s="163" t="e">
        <f>+G48/F49</f>
        <v>#DIV/0!</v>
      </c>
      <c r="I48" s="100"/>
      <c r="J48" s="96"/>
      <c r="K48" s="100"/>
    </row>
    <row r="49" spans="1:11">
      <c r="A49" s="153"/>
      <c r="B49" s="153"/>
      <c r="C49" s="100"/>
      <c r="D49" s="100" t="s">
        <v>20</v>
      </c>
      <c r="E49" s="100"/>
      <c r="F49" s="278">
        <f>SUM(F47:G48)</f>
        <v>0</v>
      </c>
      <c r="G49" s="278"/>
      <c r="H49" s="167" t="e">
        <f>SUM(H47:H48)</f>
        <v>#DIV/0!</v>
      </c>
      <c r="I49" s="100"/>
      <c r="J49" s="100"/>
      <c r="K49" s="100"/>
    </row>
    <row r="50" spans="1:11">
      <c r="A50" s="153"/>
      <c r="B50" s="153"/>
      <c r="C50" s="100"/>
      <c r="D50" s="100"/>
      <c r="E50" s="100"/>
      <c r="F50" s="184"/>
      <c r="G50" s="184"/>
      <c r="H50" s="185"/>
      <c r="I50" s="100"/>
      <c r="J50" s="100"/>
      <c r="K50" s="100"/>
    </row>
    <row r="51" spans="1:11">
      <c r="A51" s="153"/>
      <c r="B51" s="153"/>
      <c r="C51" s="100"/>
      <c r="D51" s="100"/>
      <c r="E51" s="100"/>
      <c r="F51" s="184"/>
      <c r="G51" s="184"/>
      <c r="H51" s="185"/>
      <c r="I51" s="100"/>
      <c r="J51" s="100"/>
      <c r="K51" s="100"/>
    </row>
    <row r="52" spans="1:11">
      <c r="A52" s="153"/>
      <c r="B52" s="153"/>
      <c r="C52" s="100"/>
      <c r="D52" s="96"/>
      <c r="E52" s="211"/>
      <c r="F52" s="100"/>
      <c r="G52" s="100"/>
      <c r="H52" s="100"/>
      <c r="I52" s="100"/>
      <c r="J52" s="100"/>
      <c r="K52" s="100"/>
    </row>
    <row r="53" spans="1:11">
      <c r="A53" s="153"/>
      <c r="B53" s="153"/>
      <c r="C53" s="100"/>
      <c r="D53" s="100"/>
      <c r="E53" s="279" t="s">
        <v>23</v>
      </c>
      <c r="F53" s="279"/>
      <c r="G53" s="279"/>
      <c r="H53" s="279"/>
      <c r="I53" s="100"/>
      <c r="J53" s="100"/>
      <c r="K53" s="100"/>
    </row>
    <row r="54" spans="1:11">
      <c r="A54" s="153"/>
      <c r="B54" s="153"/>
      <c r="C54" s="100"/>
      <c r="D54" s="212"/>
      <c r="E54" s="100"/>
      <c r="F54" s="100"/>
      <c r="G54" s="100"/>
      <c r="H54" s="100"/>
      <c r="I54" s="100"/>
      <c r="J54" s="100"/>
      <c r="K54" s="100"/>
    </row>
    <row r="55" spans="1:11">
      <c r="A55" s="100"/>
      <c r="B55" s="100"/>
      <c r="C55" s="100"/>
      <c r="D55" s="213" t="s">
        <v>24</v>
      </c>
      <c r="E55" s="297" t="s">
        <v>25</v>
      </c>
      <c r="F55" s="298"/>
      <c r="G55" s="297" t="s">
        <v>26</v>
      </c>
      <c r="H55" s="298"/>
      <c r="I55" s="100"/>
      <c r="J55" s="100"/>
      <c r="K55" s="100"/>
    </row>
    <row r="56" spans="1:11">
      <c r="A56" s="100"/>
      <c r="B56" s="100"/>
      <c r="C56" s="100"/>
      <c r="D56" s="214" t="s">
        <v>27</v>
      </c>
      <c r="E56" s="227" t="s">
        <v>28</v>
      </c>
      <c r="F56" s="227" t="s">
        <v>29</v>
      </c>
      <c r="G56" s="215" t="s">
        <v>28</v>
      </c>
      <c r="H56" s="215" t="s">
        <v>29</v>
      </c>
      <c r="I56" s="100"/>
      <c r="J56" s="100"/>
      <c r="K56" s="100"/>
    </row>
    <row r="57" spans="1:11">
      <c r="A57" s="100"/>
      <c r="B57" s="100"/>
      <c r="C57" s="100"/>
      <c r="D57" s="197" t="s">
        <v>30</v>
      </c>
      <c r="E57" s="228">
        <f>Comparativo!AY13</f>
        <v>559.32000000000005</v>
      </c>
      <c r="F57" s="231">
        <f>Comparativo!AZ13</f>
        <v>15</v>
      </c>
      <c r="G57" s="226">
        <f>ENE!$G$46</f>
        <v>123.39</v>
      </c>
      <c r="H57" s="189">
        <f>ENE!$H$55</f>
        <v>4</v>
      </c>
      <c r="I57" s="100"/>
      <c r="J57" s="100"/>
      <c r="K57" s="100"/>
    </row>
    <row r="58" spans="1:11">
      <c r="A58" s="100"/>
      <c r="B58" s="100"/>
      <c r="C58" s="100"/>
      <c r="D58" s="197" t="s">
        <v>34</v>
      </c>
      <c r="E58" s="196">
        <f>Comparativo!AY14</f>
        <v>437.76</v>
      </c>
      <c r="F58" s="191">
        <f>Comparativo!AZ14</f>
        <v>19</v>
      </c>
      <c r="G58" s="61">
        <f>FEB!$G$48</f>
        <v>176.79</v>
      </c>
      <c r="H58" s="191">
        <f>FEB!$H$57</f>
        <v>6</v>
      </c>
      <c r="I58" s="100"/>
      <c r="J58" s="100"/>
      <c r="K58" s="100"/>
    </row>
    <row r="59" spans="1:11">
      <c r="A59" s="100"/>
      <c r="B59" s="100"/>
      <c r="C59" s="100"/>
      <c r="D59" s="197" t="s">
        <v>38</v>
      </c>
      <c r="E59" s="196">
        <f>Comparativo!AY15</f>
        <v>541.5</v>
      </c>
      <c r="F59" s="191">
        <f>Comparativo!AZ15</f>
        <v>15</v>
      </c>
      <c r="G59" s="61">
        <f>MAR!$G$43</f>
        <v>370.56</v>
      </c>
      <c r="H59" s="191">
        <f>MAR!$H$51</f>
        <v>11</v>
      </c>
      <c r="I59" s="100"/>
      <c r="J59" s="100"/>
      <c r="K59" s="100"/>
    </row>
    <row r="60" spans="1:11">
      <c r="A60" s="100"/>
      <c r="B60" s="100"/>
      <c r="C60" s="100"/>
      <c r="D60" s="197" t="s">
        <v>44</v>
      </c>
      <c r="E60" s="196">
        <f>Comparativo!AY16</f>
        <v>509.58</v>
      </c>
      <c r="F60" s="191">
        <f>Comparativo!AZ16</f>
        <v>18</v>
      </c>
      <c r="G60" s="61">
        <f>ABR!$G$41</f>
        <v>201.99</v>
      </c>
      <c r="H60" s="191">
        <f>ABR!$H$50</f>
        <v>8</v>
      </c>
      <c r="I60" s="100"/>
      <c r="J60" s="100"/>
      <c r="K60" s="100"/>
    </row>
    <row r="61" spans="1:11">
      <c r="A61" s="100"/>
      <c r="B61" s="100"/>
      <c r="C61" s="100"/>
      <c r="D61" s="197" t="s">
        <v>46</v>
      </c>
      <c r="E61" s="229">
        <f>Comparativo!AY17</f>
        <v>38.22</v>
      </c>
      <c r="F61" s="191">
        <f>Comparativo!AZ17</f>
        <v>2</v>
      </c>
      <c r="G61" s="96">
        <f>MAY!$G$44</f>
        <v>60.9</v>
      </c>
      <c r="H61" s="219">
        <f>MAY!$H$52</f>
        <v>2</v>
      </c>
      <c r="I61" s="100"/>
      <c r="J61" s="100"/>
      <c r="K61" s="100"/>
    </row>
    <row r="62" spans="1:11">
      <c r="A62" s="100"/>
      <c r="B62" s="100"/>
      <c r="C62" s="100"/>
      <c r="D62" s="193" t="s">
        <v>48</v>
      </c>
      <c r="E62" s="230">
        <f>Comparativo!AY18</f>
        <v>136.56</v>
      </c>
      <c r="F62" s="223">
        <f>Comparativo!AZ18</f>
        <v>2</v>
      </c>
      <c r="G62" s="224">
        <f>G33</f>
        <v>0</v>
      </c>
      <c r="H62" s="223">
        <f>H42</f>
        <v>0</v>
      </c>
      <c r="I62" s="100"/>
      <c r="J62" s="100"/>
      <c r="K62" s="100"/>
    </row>
    <row r="63" spans="1:11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</row>
    <row r="64" spans="1:11">
      <c r="A64" s="100"/>
      <c r="B64" s="100"/>
      <c r="C64" s="100"/>
      <c r="D64" s="100"/>
      <c r="E64" s="179">
        <f>SUM(E57:E63)</f>
        <v>2222.9399999999996</v>
      </c>
      <c r="F64" s="180">
        <f>SUM(F57:F63)</f>
        <v>71</v>
      </c>
      <c r="G64" s="179">
        <f>SUM(G57:G62)</f>
        <v>933.63</v>
      </c>
      <c r="H64" s="180">
        <f>SUM(H57:H62)</f>
        <v>31</v>
      </c>
      <c r="I64" s="100"/>
      <c r="J64" s="100"/>
      <c r="K64" s="100"/>
    </row>
    <row r="65" spans="1:10">
      <c r="A65" s="100"/>
      <c r="B65" s="100"/>
      <c r="C65" s="100"/>
      <c r="D65" s="100"/>
      <c r="E65" s="100"/>
      <c r="F65" s="100"/>
      <c r="G65" s="100"/>
      <c r="H65" s="100"/>
      <c r="I65" s="100"/>
      <c r="J65" s="100"/>
    </row>
    <row r="66" spans="1:10">
      <c r="A66" s="100"/>
      <c r="B66" s="100"/>
      <c r="C66" s="100"/>
      <c r="D66" s="100"/>
      <c r="E66" s="100"/>
      <c r="F66" s="100"/>
      <c r="G66" s="100"/>
      <c r="H66" s="96"/>
      <c r="I66" s="100"/>
      <c r="J66" s="100"/>
    </row>
    <row r="67" spans="1:10">
      <c r="A67" s="100"/>
      <c r="B67" s="100"/>
      <c r="C67" s="100"/>
      <c r="D67" s="100"/>
      <c r="E67" s="100"/>
      <c r="F67" s="100"/>
      <c r="G67" s="100"/>
      <c r="H67" s="100"/>
      <c r="I67" s="100"/>
      <c r="J67" s="100"/>
    </row>
    <row r="68" spans="1:10">
      <c r="A68" s="100"/>
      <c r="B68" s="100"/>
      <c r="C68" s="100"/>
      <c r="D68" s="100"/>
      <c r="E68" s="100"/>
      <c r="F68" s="100"/>
      <c r="G68" s="100"/>
      <c r="H68" s="100"/>
      <c r="I68" s="100"/>
      <c r="J68" s="100"/>
    </row>
    <row r="69" spans="1:10">
      <c r="A69" s="100"/>
      <c r="B69" s="100"/>
      <c r="C69" s="100"/>
      <c r="D69" s="100"/>
      <c r="E69" s="100"/>
      <c r="F69" s="100"/>
      <c r="G69" s="100"/>
      <c r="H69" s="100"/>
      <c r="I69" s="100"/>
      <c r="J69" s="100"/>
    </row>
    <row r="70" spans="1:10">
      <c r="A70" s="100"/>
      <c r="B70" s="100"/>
      <c r="C70" s="100"/>
      <c r="D70" s="100"/>
      <c r="E70" s="100"/>
      <c r="F70" s="100"/>
      <c r="G70" s="100"/>
      <c r="H70" s="100"/>
      <c r="I70" s="100"/>
      <c r="J70" s="100"/>
    </row>
    <row r="71" spans="1:10">
      <c r="A71" s="100"/>
      <c r="B71" s="100"/>
      <c r="C71" s="100"/>
      <c r="D71" s="100"/>
      <c r="E71" s="100"/>
      <c r="F71" s="100"/>
      <c r="G71" s="100"/>
      <c r="H71" s="100"/>
      <c r="I71" s="100"/>
      <c r="J71" s="100"/>
    </row>
    <row r="72" spans="1:10">
      <c r="A72" s="100"/>
      <c r="B72" s="100"/>
      <c r="C72" s="100"/>
      <c r="D72" s="100"/>
      <c r="E72" s="100"/>
      <c r="F72" s="100"/>
      <c r="G72" s="100"/>
      <c r="H72" s="100"/>
      <c r="I72" s="100"/>
      <c r="J72" s="100"/>
    </row>
    <row r="73" spans="1:10">
      <c r="A73" s="100"/>
      <c r="B73" s="100"/>
      <c r="C73" s="100"/>
      <c r="D73" s="100"/>
      <c r="E73" s="100"/>
      <c r="F73" s="100"/>
      <c r="G73" s="100"/>
      <c r="H73" s="100"/>
      <c r="I73" s="100"/>
      <c r="J73" s="100"/>
    </row>
    <row r="74" spans="1:10">
      <c r="A74" s="100"/>
      <c r="B74" s="100"/>
      <c r="C74" s="100"/>
      <c r="D74" s="100"/>
      <c r="E74" s="100"/>
      <c r="F74" s="100"/>
      <c r="G74" s="100"/>
      <c r="H74" s="100"/>
      <c r="I74" s="100"/>
      <c r="J74" s="100"/>
    </row>
    <row r="75" spans="1:10">
      <c r="A75" s="100"/>
      <c r="B75" s="100"/>
      <c r="C75" s="100"/>
      <c r="D75" s="100"/>
      <c r="E75" s="100"/>
      <c r="F75" s="100"/>
      <c r="G75" s="100"/>
      <c r="H75" s="100"/>
      <c r="I75" s="100"/>
      <c r="J75" s="100"/>
    </row>
    <row r="76" spans="1:10">
      <c r="A76" s="100"/>
      <c r="B76" s="100"/>
      <c r="C76" s="100"/>
      <c r="D76" s="100"/>
      <c r="E76" s="100"/>
      <c r="F76" s="100"/>
      <c r="G76" s="100"/>
      <c r="H76" s="100"/>
      <c r="I76" s="100"/>
      <c r="J76" s="100"/>
    </row>
    <row r="77" spans="1:10">
      <c r="A77" s="100"/>
      <c r="B77" s="100"/>
      <c r="C77" s="100"/>
      <c r="D77" s="100"/>
      <c r="E77" s="100"/>
      <c r="F77" s="100"/>
      <c r="G77" s="100"/>
      <c r="H77" s="100"/>
      <c r="I77" s="100"/>
      <c r="J77" s="100"/>
    </row>
    <row r="78" spans="1:10">
      <c r="A78" s="100"/>
      <c r="B78" s="100"/>
      <c r="C78" s="100"/>
      <c r="D78" s="100"/>
      <c r="E78" s="100"/>
      <c r="F78" s="100"/>
      <c r="G78" s="100"/>
      <c r="H78" s="100"/>
      <c r="I78" s="100"/>
      <c r="J78" s="100"/>
    </row>
  </sheetData>
  <mergeCells count="87">
    <mergeCell ref="H25:J25"/>
    <mergeCell ref="D28:E28"/>
    <mergeCell ref="F28:G28"/>
    <mergeCell ref="H28:J28"/>
    <mergeCell ref="D26:E26"/>
    <mergeCell ref="F26:G26"/>
    <mergeCell ref="H26:J26"/>
    <mergeCell ref="D27:E27"/>
    <mergeCell ref="F27:G27"/>
    <mergeCell ref="H27:J27"/>
    <mergeCell ref="H30:J30"/>
    <mergeCell ref="D29:E29"/>
    <mergeCell ref="F29:G29"/>
    <mergeCell ref="H29:J29"/>
    <mergeCell ref="C48:E48"/>
    <mergeCell ref="E42:F42"/>
    <mergeCell ref="C46:E46"/>
    <mergeCell ref="F46:G46"/>
    <mergeCell ref="C47:E47"/>
    <mergeCell ref="C41:D41"/>
    <mergeCell ref="E41:F41"/>
    <mergeCell ref="C40:D40"/>
    <mergeCell ref="C39:D39"/>
    <mergeCell ref="F31:G31"/>
    <mergeCell ref="D33:E33"/>
    <mergeCell ref="E36:F36"/>
    <mergeCell ref="D21:E21"/>
    <mergeCell ref="F21:G21"/>
    <mergeCell ref="H21:J21"/>
    <mergeCell ref="D23:E23"/>
    <mergeCell ref="F23:G23"/>
    <mergeCell ref="H23:J23"/>
    <mergeCell ref="D22:E22"/>
    <mergeCell ref="F22:G22"/>
    <mergeCell ref="H22:J22"/>
    <mergeCell ref="D17:E17"/>
    <mergeCell ref="F17:G17"/>
    <mergeCell ref="H17:J17"/>
    <mergeCell ref="D16:E16"/>
    <mergeCell ref="F16:G16"/>
    <mergeCell ref="H16:J16"/>
    <mergeCell ref="D15:E15"/>
    <mergeCell ref="F15:G15"/>
    <mergeCell ref="H15:J15"/>
    <mergeCell ref="F13:G13"/>
    <mergeCell ref="D14:E14"/>
    <mergeCell ref="F14:G14"/>
    <mergeCell ref="D13:E13"/>
    <mergeCell ref="F49:G49"/>
    <mergeCell ref="E53:H53"/>
    <mergeCell ref="E40:F40"/>
    <mergeCell ref="E39:F39"/>
    <mergeCell ref="D10:E10"/>
    <mergeCell ref="F10:G10"/>
    <mergeCell ref="D11:E11"/>
    <mergeCell ref="F11:G11"/>
    <mergeCell ref="D12:E12"/>
    <mergeCell ref="F12:G12"/>
    <mergeCell ref="H10:J10"/>
    <mergeCell ref="H11:J11"/>
    <mergeCell ref="H12:J12"/>
    <mergeCell ref="H14:J14"/>
    <mergeCell ref="H13:J13"/>
    <mergeCell ref="H19:J19"/>
    <mergeCell ref="E7:H7"/>
    <mergeCell ref="D24:E24"/>
    <mergeCell ref="F24:G24"/>
    <mergeCell ref="C36:D36"/>
    <mergeCell ref="E55:F55"/>
    <mergeCell ref="G55:H55"/>
    <mergeCell ref="F18:G18"/>
    <mergeCell ref="H18:J18"/>
    <mergeCell ref="D20:E20"/>
    <mergeCell ref="F20:G20"/>
    <mergeCell ref="H20:J20"/>
    <mergeCell ref="D18:E18"/>
    <mergeCell ref="D19:E19"/>
    <mergeCell ref="F19:G19"/>
    <mergeCell ref="H24:J24"/>
    <mergeCell ref="E38:F38"/>
    <mergeCell ref="C38:D38"/>
    <mergeCell ref="E37:F37"/>
    <mergeCell ref="D25:E25"/>
    <mergeCell ref="D30:E30"/>
    <mergeCell ref="F30:G30"/>
    <mergeCell ref="F25:G25"/>
    <mergeCell ref="C37:D37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</sheetPr>
  <dimension ref="A1:J66"/>
  <sheetViews>
    <sheetView showGridLines="0" topLeftCell="A7" zoomScaleNormal="100" workbookViewId="0">
      <selection activeCell="G16" sqref="G16"/>
    </sheetView>
  </sheetViews>
  <sheetFormatPr defaultColWidth="11.42578125" defaultRowHeight="12"/>
  <cols>
    <col min="1" max="1" width="4.28515625" style="199" customWidth="1"/>
    <col min="2" max="2" width="11.28515625" style="199" customWidth="1"/>
    <col min="3" max="3" width="9.7109375" style="199" customWidth="1"/>
    <col min="4" max="4" width="12.5703125" style="199" customWidth="1"/>
    <col min="5" max="5" width="9.7109375" style="199" customWidth="1"/>
    <col min="6" max="6" width="11.7109375" style="199" bestFit="1" customWidth="1"/>
    <col min="7" max="7" width="9.7109375" style="199" customWidth="1"/>
    <col min="8" max="8" width="13" style="199" customWidth="1"/>
    <col min="9" max="9" width="9.7109375" style="199" customWidth="1"/>
    <col min="10" max="16384" width="11.42578125" style="199"/>
  </cols>
  <sheetData>
    <row r="1" spans="1:10">
      <c r="A1" s="100"/>
      <c r="B1" s="152"/>
      <c r="C1" s="152"/>
      <c r="D1" s="152"/>
      <c r="E1" s="152"/>
      <c r="F1" s="152"/>
      <c r="G1" s="152"/>
      <c r="H1" s="152"/>
      <c r="I1" s="152"/>
      <c r="J1" s="100"/>
    </row>
    <row r="2" spans="1:10">
      <c r="A2" s="153"/>
      <c r="B2" s="100"/>
      <c r="C2" s="100"/>
      <c r="D2" s="100"/>
      <c r="E2" s="100"/>
      <c r="F2" s="100"/>
      <c r="G2" s="100"/>
      <c r="H2" s="100"/>
      <c r="I2" s="100"/>
      <c r="J2" s="100"/>
    </row>
    <row r="3" spans="1:10">
      <c r="A3" s="153"/>
      <c r="B3" s="100"/>
      <c r="C3" s="100"/>
      <c r="D3" s="100"/>
      <c r="E3" s="100"/>
      <c r="F3" s="100"/>
      <c r="G3" s="100"/>
      <c r="H3" s="100"/>
      <c r="I3" s="100"/>
      <c r="J3" s="100"/>
    </row>
    <row r="4" spans="1:10">
      <c r="A4" s="210"/>
      <c r="B4" s="100"/>
      <c r="C4" s="100"/>
      <c r="D4" s="100"/>
      <c r="E4" s="100"/>
      <c r="F4" s="100"/>
      <c r="G4" s="100"/>
      <c r="H4" s="100"/>
      <c r="I4" s="100"/>
      <c r="J4" s="100"/>
    </row>
    <row r="5" spans="1:10">
      <c r="A5" s="153"/>
      <c r="B5" s="100"/>
      <c r="C5" s="100"/>
      <c r="D5" s="100"/>
      <c r="E5" s="100"/>
      <c r="F5" s="100"/>
      <c r="G5" s="100"/>
      <c r="H5" s="100"/>
      <c r="I5" s="100"/>
      <c r="J5" s="100"/>
    </row>
    <row r="6" spans="1:10">
      <c r="A6" s="210"/>
      <c r="B6" s="100"/>
      <c r="C6" s="100"/>
      <c r="D6" s="100"/>
      <c r="E6" s="100"/>
      <c r="F6" s="100"/>
      <c r="G6" s="100"/>
      <c r="H6" s="100"/>
      <c r="I6" s="100"/>
      <c r="J6" s="100"/>
    </row>
    <row r="7" spans="1:10">
      <c r="A7" s="210"/>
      <c r="B7" s="100"/>
      <c r="C7" s="100"/>
      <c r="D7" s="100"/>
      <c r="E7" s="100"/>
      <c r="F7" s="100"/>
      <c r="G7" s="100"/>
      <c r="H7" s="100"/>
      <c r="I7" s="100"/>
      <c r="J7" s="100"/>
    </row>
    <row r="8" spans="1:10">
      <c r="A8" s="210"/>
      <c r="B8" s="100"/>
      <c r="C8" s="100"/>
      <c r="D8" s="100"/>
      <c r="E8" s="100"/>
      <c r="F8" s="100"/>
      <c r="G8" s="100"/>
      <c r="H8" s="100"/>
      <c r="I8" s="100"/>
      <c r="J8" s="100"/>
    </row>
    <row r="9" spans="1:10">
      <c r="A9" s="210"/>
      <c r="B9" s="100"/>
      <c r="C9" s="100"/>
      <c r="D9" s="100"/>
      <c r="E9" s="100"/>
      <c r="F9" s="100"/>
      <c r="G9" s="100"/>
      <c r="H9" s="100"/>
      <c r="I9" s="100"/>
      <c r="J9" s="100"/>
    </row>
    <row r="10" spans="1:10">
      <c r="A10" s="210"/>
      <c r="B10" s="100"/>
      <c r="C10" s="100"/>
      <c r="D10" s="100"/>
      <c r="E10" s="100"/>
      <c r="F10" s="100"/>
      <c r="G10" s="100"/>
      <c r="H10" s="100"/>
      <c r="I10" s="100"/>
      <c r="J10" s="100"/>
    </row>
    <row r="11" spans="1:10">
      <c r="A11" s="100"/>
      <c r="B11" s="100"/>
      <c r="C11" s="289" t="s">
        <v>23</v>
      </c>
      <c r="D11" s="289"/>
      <c r="E11" s="289"/>
      <c r="F11" s="289"/>
      <c r="G11" s="289"/>
      <c r="H11" s="289"/>
      <c r="I11" s="100"/>
      <c r="J11" s="100"/>
    </row>
    <row r="12" spans="1:10">
      <c r="A12" s="100"/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>
      <c r="A13" s="100"/>
      <c r="B13" s="243" t="s">
        <v>24</v>
      </c>
      <c r="C13" s="299">
        <v>2022</v>
      </c>
      <c r="D13" s="300"/>
      <c r="E13" s="299" t="s">
        <v>49</v>
      </c>
      <c r="F13" s="300"/>
      <c r="G13" s="299">
        <v>2023</v>
      </c>
      <c r="H13" s="300"/>
      <c r="I13" s="299" t="s">
        <v>49</v>
      </c>
      <c r="J13" s="300"/>
    </row>
    <row r="14" spans="1:10">
      <c r="A14" s="100"/>
      <c r="B14" s="232" t="s">
        <v>27</v>
      </c>
      <c r="C14" s="233" t="s">
        <v>28</v>
      </c>
      <c r="D14" s="233" t="s">
        <v>29</v>
      </c>
      <c r="E14" s="233" t="s">
        <v>28</v>
      </c>
      <c r="F14" s="233" t="s">
        <v>29</v>
      </c>
      <c r="G14" s="233" t="s">
        <v>28</v>
      </c>
      <c r="H14" s="233" t="s">
        <v>29</v>
      </c>
      <c r="I14" s="233" t="s">
        <v>28</v>
      </c>
      <c r="J14" s="233" t="s">
        <v>29</v>
      </c>
    </row>
    <row r="15" spans="1:10">
      <c r="A15" s="100"/>
      <c r="B15" s="217"/>
      <c r="C15" s="216"/>
      <c r="D15" s="218"/>
      <c r="E15" s="216"/>
      <c r="F15" s="218"/>
      <c r="G15" s="216"/>
      <c r="H15" s="218"/>
      <c r="I15" s="216"/>
      <c r="J15" s="218"/>
    </row>
    <row r="16" spans="1:10">
      <c r="A16" s="100"/>
      <c r="B16" s="190" t="s">
        <v>30</v>
      </c>
      <c r="C16" s="198">
        <f>ENE!E67</f>
        <v>559.32000000000005</v>
      </c>
      <c r="D16" s="221">
        <v>15</v>
      </c>
      <c r="E16" s="220">
        <f>C16</f>
        <v>559.32000000000005</v>
      </c>
      <c r="F16" s="221">
        <f>D16</f>
        <v>15</v>
      </c>
      <c r="G16" s="220">
        <f>ENE!G46</f>
        <v>123.39</v>
      </c>
      <c r="H16" s="221">
        <f>ENE!H55</f>
        <v>4</v>
      </c>
      <c r="I16" s="220">
        <f>G16</f>
        <v>123.39</v>
      </c>
      <c r="J16" s="221">
        <f>H16</f>
        <v>4</v>
      </c>
    </row>
    <row r="17" spans="1:10">
      <c r="A17" s="100"/>
      <c r="B17" s="190" t="s">
        <v>34</v>
      </c>
      <c r="C17" s="220">
        <f>FEB!E72</f>
        <v>437.76</v>
      </c>
      <c r="D17" s="221">
        <v>22</v>
      </c>
      <c r="E17" s="220">
        <f>C17+E16</f>
        <v>997.08</v>
      </c>
      <c r="F17" s="221">
        <f>F16+D17</f>
        <v>37</v>
      </c>
      <c r="G17" s="220">
        <f>FEB!G48</f>
        <v>176.79</v>
      </c>
      <c r="H17" s="221">
        <f>FEB!H57</f>
        <v>6</v>
      </c>
      <c r="I17" s="220">
        <f t="shared" ref="I17:J21" si="0">I16+G17</f>
        <v>300.18</v>
      </c>
      <c r="J17" s="221">
        <f t="shared" si="0"/>
        <v>10</v>
      </c>
    </row>
    <row r="18" spans="1:10">
      <c r="A18" s="100"/>
      <c r="B18" s="190" t="s">
        <v>38</v>
      </c>
      <c r="C18" s="220">
        <f>MAR!E65</f>
        <v>541.5</v>
      </c>
      <c r="D18" s="221">
        <v>13</v>
      </c>
      <c r="E18" s="220">
        <f>E17+C18</f>
        <v>1538.58</v>
      </c>
      <c r="F18" s="221">
        <f>F17+D18</f>
        <v>50</v>
      </c>
      <c r="G18" s="220">
        <f>MAR!G43</f>
        <v>370.56</v>
      </c>
      <c r="H18" s="221">
        <f>MAR!H51</f>
        <v>11</v>
      </c>
      <c r="I18" s="220">
        <f t="shared" si="0"/>
        <v>670.74</v>
      </c>
      <c r="J18" s="221">
        <f t="shared" si="0"/>
        <v>21</v>
      </c>
    </row>
    <row r="19" spans="1:10">
      <c r="A19" s="100"/>
      <c r="B19" s="190" t="s">
        <v>44</v>
      </c>
      <c r="C19" s="220">
        <f>ABR!E65</f>
        <v>509.58</v>
      </c>
      <c r="D19" s="221">
        <v>6</v>
      </c>
      <c r="E19" s="220">
        <f>E18+C19</f>
        <v>2048.16</v>
      </c>
      <c r="F19" s="221">
        <f>F18+D19</f>
        <v>56</v>
      </c>
      <c r="G19" s="220">
        <f>ABR!G41</f>
        <v>201.99</v>
      </c>
      <c r="H19" s="221">
        <f>ABR!H50</f>
        <v>8</v>
      </c>
      <c r="I19" s="220">
        <f t="shared" si="0"/>
        <v>872.73</v>
      </c>
      <c r="J19" s="221">
        <f t="shared" si="0"/>
        <v>29</v>
      </c>
    </row>
    <row r="20" spans="1:10">
      <c r="A20" s="100"/>
      <c r="B20" s="190" t="s">
        <v>46</v>
      </c>
      <c r="C20" s="220">
        <f>MAY!E67</f>
        <v>38.22</v>
      </c>
      <c r="D20" s="221">
        <v>8</v>
      </c>
      <c r="E20" s="220">
        <f>E19+C20</f>
        <v>2086.3799999999997</v>
      </c>
      <c r="F20" s="221">
        <f>F19+D20</f>
        <v>64</v>
      </c>
      <c r="G20" s="220">
        <f>MAY!G44</f>
        <v>60.9</v>
      </c>
      <c r="H20" s="221">
        <f>MAY!H52</f>
        <v>2</v>
      </c>
      <c r="I20" s="220">
        <f t="shared" si="0"/>
        <v>933.63</v>
      </c>
      <c r="J20" s="221">
        <f t="shared" si="0"/>
        <v>31</v>
      </c>
    </row>
    <row r="21" spans="1:10">
      <c r="A21" s="100"/>
      <c r="B21" s="178" t="s">
        <v>48</v>
      </c>
      <c r="C21" s="222">
        <f>JUN!E62</f>
        <v>136.56</v>
      </c>
      <c r="D21" s="225">
        <v>7</v>
      </c>
      <c r="E21" s="222">
        <f>E20+C21</f>
        <v>2222.9399999999996</v>
      </c>
      <c r="F21" s="225">
        <f>F20+D21</f>
        <v>71</v>
      </c>
      <c r="G21" s="222">
        <f>+JUN!G33</f>
        <v>0</v>
      </c>
      <c r="H21" s="225">
        <f>+JUN!H42</f>
        <v>0</v>
      </c>
      <c r="I21" s="222">
        <f t="shared" si="0"/>
        <v>933.63</v>
      </c>
      <c r="J21" s="225">
        <f t="shared" si="0"/>
        <v>31</v>
      </c>
    </row>
    <row r="22" spans="1:10">
      <c r="A22" s="100"/>
      <c r="B22" s="100"/>
      <c r="C22" s="96"/>
      <c r="D22" s="211"/>
      <c r="E22" s="96"/>
      <c r="F22" s="211"/>
      <c r="G22" s="96"/>
      <c r="H22" s="211"/>
      <c r="I22" s="96"/>
      <c r="J22" s="211"/>
    </row>
    <row r="23" spans="1:10">
      <c r="A23" s="100"/>
      <c r="B23" s="71" t="s">
        <v>50</v>
      </c>
      <c r="C23" s="234">
        <f>SUM(C16:C21)</f>
        <v>2222.9399999999996</v>
      </c>
      <c r="D23" s="234">
        <f>SUM(D16:D21)</f>
        <v>71</v>
      </c>
      <c r="E23" s="234">
        <f>E21</f>
        <v>2222.9399999999996</v>
      </c>
      <c r="F23" s="234">
        <f>F21</f>
        <v>71</v>
      </c>
      <c r="G23" s="234">
        <f>SUM(G16:G21)</f>
        <v>933.63</v>
      </c>
      <c r="H23" s="234">
        <f>SUM(H16:H21)</f>
        <v>31</v>
      </c>
      <c r="I23" s="234">
        <f>I21</f>
        <v>933.63</v>
      </c>
      <c r="J23" s="234">
        <f>J21</f>
        <v>31</v>
      </c>
    </row>
    <row r="24" spans="1:10">
      <c r="A24" s="100"/>
      <c r="B24" s="100"/>
      <c r="C24" s="100"/>
      <c r="D24" s="100"/>
      <c r="E24" s="100"/>
      <c r="F24" s="100"/>
      <c r="G24" s="100"/>
      <c r="H24" s="100"/>
      <c r="I24" s="100"/>
      <c r="J24" s="100"/>
    </row>
    <row r="25" spans="1:10">
      <c r="A25" s="100"/>
      <c r="B25" s="100"/>
      <c r="C25" s="100"/>
      <c r="D25" s="100"/>
      <c r="E25" s="100"/>
      <c r="F25" s="100"/>
      <c r="G25" s="100"/>
      <c r="H25" s="100"/>
      <c r="I25" s="100"/>
      <c r="J25" s="100"/>
    </row>
    <row r="26" spans="1:10">
      <c r="A26" s="100"/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>
      <c r="A27" s="100"/>
      <c r="B27" s="100"/>
      <c r="C27" s="100"/>
      <c r="D27" s="100"/>
      <c r="E27" s="100"/>
      <c r="F27" s="100"/>
      <c r="G27" s="100"/>
      <c r="H27" s="100"/>
      <c r="I27" s="100"/>
      <c r="J27" s="100"/>
    </row>
    <row r="28" spans="1:10">
      <c r="A28" s="100"/>
      <c r="B28" s="100"/>
      <c r="C28" s="100"/>
      <c r="D28" s="100"/>
      <c r="E28" s="100"/>
      <c r="F28" s="100"/>
      <c r="G28" s="100"/>
      <c r="H28" s="100"/>
      <c r="I28" s="100"/>
      <c r="J28" s="100"/>
    </row>
    <row r="29" spans="1:10">
      <c r="A29" s="100"/>
      <c r="B29" s="100"/>
      <c r="C29" s="100"/>
      <c r="D29" s="100"/>
      <c r="E29" s="100"/>
      <c r="F29" s="100"/>
      <c r="G29" s="100"/>
      <c r="H29" s="100"/>
      <c r="I29" s="100"/>
      <c r="J29" s="100"/>
    </row>
    <row r="30" spans="1:10">
      <c r="A30" s="100"/>
      <c r="B30" s="100"/>
      <c r="C30" s="100"/>
      <c r="D30" s="100"/>
      <c r="E30" s="100"/>
      <c r="F30" s="100"/>
      <c r="G30" s="100"/>
      <c r="H30" s="100"/>
      <c r="I30" s="100"/>
      <c r="J30" s="100"/>
    </row>
    <row r="31" spans="1:10">
      <c r="A31" s="100"/>
      <c r="B31" s="100"/>
      <c r="C31" s="100"/>
      <c r="D31" s="100"/>
      <c r="E31" s="100"/>
      <c r="F31" s="100"/>
      <c r="G31" s="100"/>
      <c r="H31" s="100"/>
      <c r="I31" s="100"/>
      <c r="J31" s="100"/>
    </row>
    <row r="32" spans="1:10">
      <c r="A32" s="100"/>
      <c r="B32" s="100"/>
      <c r="C32" s="100"/>
      <c r="D32" s="100"/>
      <c r="E32" s="100"/>
      <c r="F32" s="100"/>
      <c r="G32" s="100"/>
      <c r="H32" s="100"/>
      <c r="I32" s="100"/>
      <c r="J32" s="100"/>
    </row>
    <row r="33" spans="1:10">
      <c r="A33" s="100"/>
      <c r="B33" s="100"/>
      <c r="C33" s="100"/>
      <c r="D33" s="100"/>
      <c r="E33" s="100"/>
      <c r="F33" s="100"/>
      <c r="G33" s="100"/>
      <c r="H33" s="100"/>
      <c r="I33" s="100"/>
      <c r="J33" s="100"/>
    </row>
    <row r="34" spans="1:10">
      <c r="A34" s="100"/>
      <c r="B34" s="100"/>
      <c r="C34" s="100"/>
      <c r="D34" s="100"/>
      <c r="E34" s="100"/>
      <c r="F34" s="100"/>
      <c r="G34" s="100"/>
      <c r="H34" s="100"/>
      <c r="I34" s="100"/>
      <c r="J34" s="100"/>
    </row>
    <row r="35" spans="1:10">
      <c r="A35" s="100"/>
      <c r="B35" s="100"/>
      <c r="C35" s="100"/>
      <c r="D35" s="100"/>
      <c r="E35" s="100"/>
      <c r="F35" s="100"/>
      <c r="G35" s="100"/>
      <c r="H35" s="100"/>
      <c r="I35" s="100"/>
      <c r="J35" s="100"/>
    </row>
    <row r="36" spans="1:10">
      <c r="A36" s="100"/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0">
      <c r="A37" s="100"/>
      <c r="B37" s="235"/>
      <c r="C37" s="303" t="s">
        <v>7</v>
      </c>
      <c r="D37" s="304"/>
      <c r="E37" s="304"/>
      <c r="F37" s="305"/>
      <c r="G37" s="303" t="s">
        <v>49</v>
      </c>
      <c r="H37" s="304"/>
      <c r="I37" s="304"/>
      <c r="J37" s="305"/>
    </row>
    <row r="38" spans="1:10">
      <c r="A38" s="100"/>
      <c r="B38" s="236" t="s">
        <v>27</v>
      </c>
      <c r="C38" s="301" t="s">
        <v>51</v>
      </c>
      <c r="D38" s="302"/>
      <c r="E38" s="301" t="s">
        <v>52</v>
      </c>
      <c r="F38" s="302"/>
      <c r="G38" s="301" t="s">
        <v>51</v>
      </c>
      <c r="H38" s="302"/>
      <c r="I38" s="301" t="s">
        <v>52</v>
      </c>
      <c r="J38" s="302"/>
    </row>
    <row r="39" spans="1:10">
      <c r="A39" s="100"/>
      <c r="B39" s="217"/>
      <c r="C39" s="100"/>
      <c r="D39" s="100"/>
      <c r="E39" s="100"/>
      <c r="F39" s="100"/>
      <c r="G39" s="237"/>
      <c r="H39" s="100"/>
      <c r="I39" s="100"/>
      <c r="J39" s="238"/>
    </row>
    <row r="40" spans="1:10">
      <c r="A40" s="100"/>
      <c r="B40" s="190" t="s">
        <v>30</v>
      </c>
      <c r="C40" s="100"/>
      <c r="D40" s="96">
        <f>ENE!F59</f>
        <v>0</v>
      </c>
      <c r="E40" s="100"/>
      <c r="F40" s="96">
        <f>+ENE!F60:G60</f>
        <v>123390</v>
      </c>
      <c r="G40" s="197"/>
      <c r="H40" s="96">
        <f>D40</f>
        <v>0</v>
      </c>
      <c r="I40" s="100"/>
      <c r="J40" s="239">
        <f>F40</f>
        <v>123390</v>
      </c>
    </row>
    <row r="41" spans="1:10">
      <c r="A41" s="100"/>
      <c r="B41" s="190" t="s">
        <v>34</v>
      </c>
      <c r="C41" s="100"/>
      <c r="D41" s="96">
        <f>FEB!F62</f>
        <v>0</v>
      </c>
      <c r="E41" s="100"/>
      <c r="F41" s="96">
        <f>FEB!F63</f>
        <v>176790</v>
      </c>
      <c r="G41" s="197"/>
      <c r="H41" s="96">
        <f>H40+D41</f>
        <v>0</v>
      </c>
      <c r="I41" s="100"/>
      <c r="J41" s="239">
        <f>J40+F41</f>
        <v>300180</v>
      </c>
    </row>
    <row r="42" spans="1:10">
      <c r="A42" s="100"/>
      <c r="B42" s="190" t="s">
        <v>38</v>
      </c>
      <c r="C42" s="100"/>
      <c r="D42" s="96">
        <f>MAR!G54</f>
        <v>0</v>
      </c>
      <c r="E42" s="100"/>
      <c r="F42" s="96">
        <f>MAR!F55</f>
        <v>370560</v>
      </c>
      <c r="G42" s="197"/>
      <c r="H42" s="96">
        <f>H41+D42</f>
        <v>0</v>
      </c>
      <c r="I42" s="100"/>
      <c r="J42" s="239">
        <f>J41+F42</f>
        <v>670740</v>
      </c>
    </row>
    <row r="43" spans="1:10">
      <c r="A43" s="100"/>
      <c r="B43" s="190" t="s">
        <v>44</v>
      </c>
      <c r="C43" s="100"/>
      <c r="D43" s="96">
        <f>ABR!F54</f>
        <v>0</v>
      </c>
      <c r="E43" s="100"/>
      <c r="F43" s="96">
        <f>ABR!F55</f>
        <v>201990</v>
      </c>
      <c r="G43" s="197"/>
      <c r="H43" s="96">
        <f>H42+D43</f>
        <v>0</v>
      </c>
      <c r="I43" s="100"/>
      <c r="J43" s="239">
        <f>J42+F43</f>
        <v>872730</v>
      </c>
    </row>
    <row r="44" spans="1:10">
      <c r="A44" s="100"/>
      <c r="B44" s="190" t="s">
        <v>46</v>
      </c>
      <c r="C44" s="100"/>
      <c r="D44" s="96">
        <f>MAY!G55</f>
        <v>0</v>
      </c>
      <c r="E44" s="100"/>
      <c r="F44" s="96">
        <f>MAY!F56</f>
        <v>60900</v>
      </c>
      <c r="G44" s="197"/>
      <c r="H44" s="96">
        <f>H43+D44</f>
        <v>0</v>
      </c>
      <c r="I44" s="100"/>
      <c r="J44" s="239">
        <f>J43+F44</f>
        <v>933630</v>
      </c>
    </row>
    <row r="45" spans="1:10">
      <c r="A45" s="100"/>
      <c r="B45" s="178" t="s">
        <v>48</v>
      </c>
      <c r="C45" s="193"/>
      <c r="D45" s="224">
        <f>+JUN!G47</f>
        <v>0</v>
      </c>
      <c r="E45" s="240"/>
      <c r="F45" s="224">
        <f>+JUN!G48</f>
        <v>0</v>
      </c>
      <c r="G45" s="193"/>
      <c r="H45" s="224">
        <f>H44+D45</f>
        <v>0</v>
      </c>
      <c r="I45" s="240"/>
      <c r="J45" s="241">
        <f>J44+F45</f>
        <v>933630</v>
      </c>
    </row>
    <row r="46" spans="1:10">
      <c r="A46" s="100"/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>
      <c r="A47" s="100"/>
      <c r="B47" s="71" t="s">
        <v>50</v>
      </c>
      <c r="C47" s="242"/>
      <c r="D47" s="179">
        <f>SUM(D40:D46)</f>
        <v>0</v>
      </c>
      <c r="E47" s="179"/>
      <c r="F47" s="179">
        <f>SUM(F40:F46)</f>
        <v>933630</v>
      </c>
      <c r="G47" s="242"/>
      <c r="H47" s="179">
        <f>H45</f>
        <v>0</v>
      </c>
      <c r="I47" s="242"/>
      <c r="J47" s="179">
        <f>J45</f>
        <v>933630</v>
      </c>
    </row>
    <row r="48" spans="1:10">
      <c r="A48" s="100"/>
      <c r="B48" s="100"/>
      <c r="C48" s="100"/>
      <c r="D48" s="100"/>
      <c r="E48" s="100"/>
      <c r="F48" s="100"/>
      <c r="G48" s="100"/>
      <c r="H48" s="100"/>
      <c r="I48" s="100"/>
      <c r="J48" s="100"/>
    </row>
    <row r="49" spans="1:10">
      <c r="A49" s="100"/>
      <c r="B49" s="100"/>
      <c r="C49" s="100"/>
      <c r="D49" s="100"/>
      <c r="E49" s="100"/>
      <c r="F49" s="96"/>
      <c r="G49" s="100"/>
      <c r="H49" s="100"/>
      <c r="I49" s="100"/>
      <c r="J49" s="100"/>
    </row>
    <row r="50" spans="1:10">
      <c r="A50" s="100"/>
      <c r="B50" s="100"/>
      <c r="C50" s="100"/>
      <c r="D50" s="100"/>
      <c r="E50" s="100"/>
      <c r="F50" s="100"/>
      <c r="G50" s="96"/>
      <c r="H50" s="100"/>
      <c r="I50" s="100"/>
      <c r="J50" s="100"/>
    </row>
    <row r="51" spans="1:10">
      <c r="A51" s="100"/>
      <c r="B51" s="100"/>
      <c r="C51" s="100"/>
      <c r="D51" s="100"/>
      <c r="E51" s="100"/>
      <c r="F51" s="100"/>
      <c r="G51" s="100"/>
      <c r="H51" s="100"/>
      <c r="I51" s="100"/>
      <c r="J51" s="100"/>
    </row>
    <row r="52" spans="1:10">
      <c r="A52" s="100"/>
      <c r="B52" s="100"/>
      <c r="C52" s="100"/>
      <c r="D52" s="100"/>
      <c r="E52" s="100"/>
      <c r="F52" s="100"/>
      <c r="G52" s="100"/>
      <c r="H52" s="100"/>
      <c r="I52" s="100"/>
      <c r="J52" s="100"/>
    </row>
    <row r="53" spans="1:10">
      <c r="A53" s="100"/>
      <c r="B53" s="100"/>
      <c r="C53" s="100"/>
      <c r="D53" s="100"/>
      <c r="E53" s="100"/>
      <c r="F53" s="100"/>
      <c r="G53" s="100"/>
      <c r="H53" s="100"/>
      <c r="I53" s="100"/>
      <c r="J53" s="100"/>
    </row>
    <row r="54" spans="1:10">
      <c r="A54" s="100"/>
      <c r="B54" s="100"/>
      <c r="C54" s="100"/>
      <c r="D54" s="100"/>
      <c r="E54" s="100"/>
      <c r="F54" s="100"/>
      <c r="G54" s="100"/>
      <c r="H54" s="100"/>
      <c r="I54" s="100"/>
      <c r="J54" s="100"/>
    </row>
    <row r="55" spans="1:10">
      <c r="A55" s="100"/>
      <c r="B55" s="100"/>
      <c r="C55" s="100"/>
      <c r="D55" s="100"/>
      <c r="E55" s="100"/>
      <c r="F55" s="100"/>
      <c r="G55" s="100"/>
      <c r="H55" s="100"/>
      <c r="I55" s="100"/>
      <c r="J55" s="100"/>
    </row>
    <row r="56" spans="1:10">
      <c r="A56" s="100"/>
      <c r="B56" s="100"/>
      <c r="C56" s="100"/>
      <c r="D56" s="100"/>
      <c r="E56" s="100"/>
      <c r="F56" s="100"/>
      <c r="G56" s="100"/>
      <c r="H56" s="100"/>
      <c r="I56" s="100"/>
      <c r="J56" s="100"/>
    </row>
    <row r="57" spans="1:10">
      <c r="A57" s="100"/>
      <c r="B57" s="100"/>
      <c r="C57" s="100"/>
      <c r="D57" s="100"/>
      <c r="E57" s="100"/>
      <c r="F57" s="100"/>
      <c r="G57" s="100"/>
      <c r="H57" s="100"/>
      <c r="I57" s="100"/>
      <c r="J57" s="100"/>
    </row>
    <row r="58" spans="1:10">
      <c r="A58" s="100"/>
      <c r="B58" s="100"/>
      <c r="C58" s="100"/>
      <c r="D58" s="100"/>
      <c r="E58" s="100"/>
      <c r="F58" s="100"/>
      <c r="G58" s="100"/>
      <c r="H58" s="100"/>
      <c r="I58" s="100"/>
      <c r="J58" s="100"/>
    </row>
    <row r="59" spans="1:10">
      <c r="A59" s="100"/>
      <c r="B59" s="100"/>
      <c r="C59" s="100"/>
      <c r="D59" s="100"/>
      <c r="E59" s="100"/>
      <c r="F59" s="100"/>
      <c r="G59" s="100"/>
      <c r="H59" s="100"/>
      <c r="I59" s="100"/>
      <c r="J59" s="100"/>
    </row>
    <row r="60" spans="1:10">
      <c r="A60" s="100"/>
      <c r="B60" s="100"/>
      <c r="C60" s="100"/>
      <c r="D60" s="100"/>
      <c r="E60" s="100"/>
      <c r="F60" s="100"/>
      <c r="G60" s="100"/>
      <c r="H60" s="100"/>
      <c r="I60" s="100"/>
      <c r="J60" s="100"/>
    </row>
    <row r="61" spans="1:10">
      <c r="A61" s="100"/>
      <c r="B61" s="100"/>
      <c r="C61" s="100"/>
      <c r="D61" s="100"/>
      <c r="E61" s="100"/>
      <c r="F61" s="100"/>
      <c r="G61" s="100"/>
      <c r="H61" s="100"/>
      <c r="I61" s="100"/>
      <c r="J61" s="100"/>
    </row>
    <row r="62" spans="1:10">
      <c r="A62" s="100"/>
      <c r="B62" s="100"/>
      <c r="C62" s="100"/>
      <c r="D62" s="100"/>
      <c r="E62" s="100"/>
      <c r="F62" s="100"/>
      <c r="G62" s="100"/>
      <c r="H62" s="100"/>
      <c r="I62" s="100"/>
      <c r="J62" s="100"/>
    </row>
    <row r="63" spans="1:10">
      <c r="A63" s="100"/>
      <c r="B63" s="100"/>
      <c r="C63" s="100"/>
      <c r="D63" s="100"/>
      <c r="E63" s="100"/>
      <c r="F63" s="100"/>
      <c r="G63" s="100"/>
      <c r="H63" s="100"/>
      <c r="I63" s="100"/>
      <c r="J63" s="100"/>
    </row>
    <row r="64" spans="1:10">
      <c r="A64" s="100"/>
      <c r="B64" s="100"/>
      <c r="C64" s="100"/>
      <c r="D64" s="100"/>
      <c r="E64" s="100"/>
      <c r="F64" s="100"/>
      <c r="G64" s="100"/>
      <c r="H64" s="100"/>
      <c r="I64" s="100"/>
      <c r="J64" s="100"/>
    </row>
    <row r="65" spans="1:10">
      <c r="A65" s="100"/>
      <c r="B65" s="100"/>
      <c r="C65" s="100"/>
      <c r="D65" s="100"/>
      <c r="E65" s="100"/>
      <c r="F65" s="100"/>
      <c r="G65" s="100"/>
      <c r="H65" s="100"/>
      <c r="I65" s="100"/>
      <c r="J65" s="100"/>
    </row>
    <row r="66" spans="1:10">
      <c r="A66" s="100"/>
      <c r="B66" s="100"/>
      <c r="C66" s="100"/>
      <c r="D66" s="100"/>
      <c r="E66" s="100"/>
      <c r="F66" s="100"/>
      <c r="G66" s="100"/>
      <c r="H66" s="100"/>
      <c r="I66" s="100"/>
      <c r="J66" s="100"/>
    </row>
  </sheetData>
  <mergeCells count="11">
    <mergeCell ref="C38:D38"/>
    <mergeCell ref="E38:F38"/>
    <mergeCell ref="G38:H38"/>
    <mergeCell ref="I38:J38"/>
    <mergeCell ref="C37:F37"/>
    <mergeCell ref="G37:J37"/>
    <mergeCell ref="C13:D13"/>
    <mergeCell ref="E13:F13"/>
    <mergeCell ref="G13:H13"/>
    <mergeCell ref="I13:J13"/>
    <mergeCell ref="C11:H11"/>
  </mergeCells>
  <phoneticPr fontId="0" type="noConversion"/>
  <pageMargins left="0.59055118110236227" right="0.75" top="1" bottom="1" header="0" footer="0"/>
  <pageSetup paperSize="9" scale="85" orientation="portrait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4"/>
  <sheetViews>
    <sheetView showGridLines="0" zoomScaleNormal="100" workbookViewId="0">
      <selection activeCell="H38" sqref="H38:H41"/>
    </sheetView>
  </sheetViews>
  <sheetFormatPr defaultColWidth="9.140625" defaultRowHeight="12"/>
  <cols>
    <col min="1" max="2" width="4.28515625" style="199" customWidth="1"/>
    <col min="3" max="10" width="12.42578125" style="199" customWidth="1"/>
    <col min="11" max="256" width="11.42578125" style="199" customWidth="1"/>
    <col min="257" max="16384" width="9.140625" style="199"/>
  </cols>
  <sheetData>
    <row r="1" spans="1:11">
      <c r="A1" s="100"/>
      <c r="B1" s="100"/>
      <c r="C1" s="152"/>
      <c r="D1" s="152"/>
      <c r="E1" s="152"/>
      <c r="F1" s="152"/>
      <c r="G1" s="152"/>
      <c r="H1" s="152"/>
      <c r="I1" s="152"/>
      <c r="J1" s="152"/>
      <c r="K1" s="100"/>
    </row>
    <row r="2" spans="1:11">
      <c r="A2" s="153"/>
      <c r="B2" s="153"/>
      <c r="C2" s="100"/>
      <c r="D2" s="100"/>
      <c r="E2" s="100"/>
      <c r="F2" s="100"/>
      <c r="G2" s="100"/>
      <c r="H2" s="100"/>
      <c r="I2" s="100"/>
      <c r="J2" s="100"/>
      <c r="K2" s="100"/>
    </row>
    <row r="3" spans="1:11">
      <c r="A3" s="153"/>
      <c r="B3" s="153"/>
      <c r="C3" s="100"/>
      <c r="D3" s="100"/>
      <c r="E3" s="100"/>
      <c r="F3" s="100"/>
      <c r="G3" s="100"/>
      <c r="H3" s="100"/>
      <c r="I3" s="100"/>
      <c r="J3" s="100"/>
      <c r="K3" s="100"/>
    </row>
    <row r="4" spans="1:11">
      <c r="A4" s="210"/>
      <c r="B4" s="210"/>
      <c r="C4" s="100"/>
      <c r="D4" s="100"/>
      <c r="E4" s="100"/>
      <c r="F4" s="100"/>
      <c r="G4" s="100"/>
      <c r="H4" s="100"/>
      <c r="I4" s="100"/>
      <c r="J4" s="100"/>
      <c r="K4" s="100"/>
    </row>
    <row r="5" spans="1:11">
      <c r="A5" s="153"/>
      <c r="B5" s="153"/>
      <c r="C5" s="100"/>
      <c r="D5" s="100"/>
      <c r="E5" s="100"/>
      <c r="F5" s="100"/>
      <c r="G5" s="100"/>
      <c r="H5" s="100"/>
      <c r="I5" s="100"/>
      <c r="J5" s="100"/>
      <c r="K5" s="100"/>
    </row>
    <row r="6" spans="1:11">
      <c r="A6" s="210"/>
      <c r="B6" s="210"/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8.75">
      <c r="A7" s="210"/>
      <c r="B7" s="210"/>
      <c r="C7" s="100"/>
      <c r="D7" s="100"/>
      <c r="E7" s="272" t="s">
        <v>1</v>
      </c>
      <c r="F7" s="272"/>
      <c r="G7" s="272"/>
      <c r="H7" s="272"/>
      <c r="I7" s="186" t="s">
        <v>53</v>
      </c>
      <c r="J7" s="187">
        <f>CARÁT!$F$16</f>
        <v>2023</v>
      </c>
      <c r="K7" s="100"/>
    </row>
    <row r="8" spans="1:11">
      <c r="A8" s="210"/>
      <c r="B8" s="210"/>
      <c r="C8" s="100"/>
      <c r="D8" s="100"/>
      <c r="E8" s="100"/>
      <c r="F8" s="100"/>
      <c r="G8" s="100"/>
      <c r="H8" s="100"/>
      <c r="I8" s="100"/>
      <c r="J8" s="100"/>
      <c r="K8" s="100"/>
    </row>
    <row r="9" spans="1:11">
      <c r="A9" s="100"/>
      <c r="B9" s="100"/>
      <c r="C9" s="152"/>
      <c r="D9" s="152"/>
      <c r="E9" s="100"/>
      <c r="F9" s="152"/>
      <c r="G9" s="152"/>
      <c r="H9" s="152"/>
      <c r="I9" s="100"/>
      <c r="J9" s="100"/>
      <c r="K9" s="100"/>
    </row>
    <row r="10" spans="1:11">
      <c r="A10" s="153"/>
      <c r="B10" s="154" t="s">
        <v>3</v>
      </c>
      <c r="C10" s="154" t="s">
        <v>4</v>
      </c>
      <c r="D10" s="287" t="s">
        <v>5</v>
      </c>
      <c r="E10" s="287"/>
      <c r="F10" s="287" t="s">
        <v>6</v>
      </c>
      <c r="G10" s="287"/>
      <c r="H10" s="287" t="s">
        <v>7</v>
      </c>
      <c r="I10" s="287"/>
      <c r="J10" s="287"/>
      <c r="K10" s="100"/>
    </row>
    <row r="11" spans="1:11">
      <c r="A11" s="153"/>
      <c r="B11" s="244"/>
      <c r="C11" s="245"/>
      <c r="D11" s="327"/>
      <c r="E11" s="327"/>
      <c r="F11" s="306"/>
      <c r="G11" s="307"/>
      <c r="H11" s="273"/>
      <c r="I11" s="273"/>
      <c r="J11" s="273"/>
      <c r="K11" s="100"/>
    </row>
    <row r="12" spans="1:11">
      <c r="A12" s="153"/>
      <c r="B12" s="153"/>
      <c r="C12" s="156"/>
      <c r="D12" s="327"/>
      <c r="E12" s="327"/>
      <c r="F12" s="275"/>
      <c r="G12" s="275"/>
      <c r="H12" s="273"/>
      <c r="I12" s="273"/>
      <c r="J12" s="273"/>
      <c r="K12" s="100"/>
    </row>
    <row r="13" spans="1:11">
      <c r="A13" s="153"/>
      <c r="B13" s="153"/>
      <c r="C13" s="156"/>
      <c r="D13" s="327"/>
      <c r="E13" s="327"/>
      <c r="F13" s="275"/>
      <c r="G13" s="275"/>
      <c r="H13" s="273"/>
      <c r="I13" s="273"/>
      <c r="J13" s="273"/>
      <c r="K13" s="100"/>
    </row>
    <row r="14" spans="1:11">
      <c r="A14" s="153"/>
      <c r="B14" s="153"/>
      <c r="C14" s="156"/>
      <c r="D14" s="327"/>
      <c r="E14" s="327"/>
      <c r="F14" s="275"/>
      <c r="G14" s="275"/>
      <c r="H14" s="273"/>
      <c r="I14" s="273"/>
      <c r="J14" s="273"/>
      <c r="K14" s="100"/>
    </row>
    <row r="15" spans="1:11">
      <c r="A15" s="153"/>
      <c r="B15" s="153"/>
      <c r="C15" s="156"/>
      <c r="D15" s="327"/>
      <c r="E15" s="327"/>
      <c r="F15" s="275"/>
      <c r="G15" s="275"/>
      <c r="H15" s="273"/>
      <c r="I15" s="273"/>
      <c r="J15" s="273"/>
      <c r="K15" s="100"/>
    </row>
    <row r="16" spans="1:11">
      <c r="A16" s="153"/>
      <c r="B16" s="153"/>
      <c r="C16" s="156"/>
      <c r="D16" s="327"/>
      <c r="E16" s="327"/>
      <c r="F16" s="275"/>
      <c r="G16" s="275"/>
      <c r="H16" s="273"/>
      <c r="I16" s="273"/>
      <c r="J16" s="273"/>
      <c r="K16" s="100"/>
    </row>
    <row r="17" spans="1:11">
      <c r="A17" s="153"/>
      <c r="B17" s="153"/>
      <c r="C17" s="156"/>
      <c r="D17" s="327"/>
      <c r="E17" s="327"/>
      <c r="F17" s="275"/>
      <c r="G17" s="275"/>
      <c r="H17" s="273"/>
      <c r="I17" s="273"/>
      <c r="J17" s="273"/>
      <c r="K17" s="100"/>
    </row>
    <row r="18" spans="1:11">
      <c r="A18" s="153"/>
      <c r="B18" s="153"/>
      <c r="C18" s="156"/>
      <c r="D18" s="327"/>
      <c r="E18" s="327"/>
      <c r="F18" s="275"/>
      <c r="G18" s="275"/>
      <c r="H18" s="273"/>
      <c r="I18" s="273"/>
      <c r="J18" s="273"/>
      <c r="K18" s="100"/>
    </row>
    <row r="19" spans="1:11">
      <c r="A19" s="153"/>
      <c r="B19" s="153"/>
      <c r="C19" s="156"/>
      <c r="D19" s="327"/>
      <c r="E19" s="327"/>
      <c r="F19" s="274"/>
      <c r="G19" s="274"/>
      <c r="H19" s="273"/>
      <c r="I19" s="273"/>
      <c r="J19" s="273"/>
      <c r="K19" s="100"/>
    </row>
    <row r="20" spans="1:11">
      <c r="A20" s="153"/>
      <c r="B20" s="153"/>
      <c r="C20" s="156"/>
      <c r="D20" s="327"/>
      <c r="E20" s="327"/>
      <c r="F20" s="274"/>
      <c r="G20" s="274"/>
      <c r="H20" s="273"/>
      <c r="I20" s="273"/>
      <c r="J20" s="273"/>
      <c r="K20" s="100"/>
    </row>
    <row r="21" spans="1:11">
      <c r="A21" s="153"/>
      <c r="B21" s="153"/>
      <c r="C21" s="156"/>
      <c r="D21" s="327"/>
      <c r="E21" s="327"/>
      <c r="F21" s="274"/>
      <c r="G21" s="274"/>
      <c r="H21" s="273"/>
      <c r="I21" s="273"/>
      <c r="J21" s="273"/>
      <c r="K21" s="100"/>
    </row>
    <row r="22" spans="1:11">
      <c r="A22" s="153"/>
      <c r="B22" s="153"/>
      <c r="C22" s="156"/>
      <c r="D22" s="327"/>
      <c r="E22" s="327"/>
      <c r="F22" s="274"/>
      <c r="G22" s="274"/>
      <c r="H22" s="273"/>
      <c r="I22" s="273"/>
      <c r="J22" s="273"/>
      <c r="K22" s="100"/>
    </row>
    <row r="23" spans="1:11">
      <c r="A23" s="153"/>
      <c r="B23" s="153"/>
      <c r="C23" s="156"/>
      <c r="D23" s="327"/>
      <c r="E23" s="327"/>
      <c r="F23" s="274"/>
      <c r="G23" s="274"/>
      <c r="H23" s="273"/>
      <c r="I23" s="273"/>
      <c r="J23" s="273"/>
      <c r="K23" s="100"/>
    </row>
    <row r="24" spans="1:11">
      <c r="A24" s="153"/>
      <c r="B24" s="153"/>
      <c r="C24" s="156"/>
      <c r="D24" s="327"/>
      <c r="E24" s="327"/>
      <c r="F24" s="274"/>
      <c r="G24" s="274"/>
      <c r="H24" s="273"/>
      <c r="I24" s="273"/>
      <c r="J24" s="273"/>
      <c r="K24" s="100"/>
    </row>
    <row r="25" spans="1:11">
      <c r="A25" s="153"/>
      <c r="B25" s="153"/>
      <c r="C25" s="156"/>
      <c r="D25" s="327"/>
      <c r="E25" s="327"/>
      <c r="F25" s="274"/>
      <c r="G25" s="274"/>
      <c r="H25" s="273"/>
      <c r="I25" s="273"/>
      <c r="J25" s="273"/>
      <c r="K25" s="100"/>
    </row>
    <row r="26" spans="1:11">
      <c r="A26" s="153"/>
      <c r="B26" s="153"/>
      <c r="C26" s="156"/>
      <c r="D26" s="273"/>
      <c r="E26" s="273"/>
      <c r="F26" s="274"/>
      <c r="G26" s="274"/>
      <c r="H26" s="273"/>
      <c r="I26" s="273"/>
      <c r="J26" s="273"/>
      <c r="K26" s="100"/>
    </row>
    <row r="27" spans="1:11">
      <c r="A27" s="153"/>
      <c r="B27" s="153"/>
      <c r="C27" s="156"/>
      <c r="D27" s="273"/>
      <c r="E27" s="273"/>
      <c r="F27" s="274"/>
      <c r="G27" s="274"/>
      <c r="H27" s="273"/>
      <c r="I27" s="273"/>
      <c r="J27" s="273"/>
      <c r="K27" s="100"/>
    </row>
    <row r="28" spans="1:11">
      <c r="A28" s="153"/>
      <c r="B28" s="153"/>
      <c r="C28" s="156"/>
      <c r="D28" s="327"/>
      <c r="E28" s="327"/>
      <c r="F28" s="274"/>
      <c r="G28" s="274"/>
      <c r="H28" s="273"/>
      <c r="I28" s="273"/>
      <c r="J28" s="273"/>
      <c r="K28" s="100"/>
    </row>
    <row r="29" spans="1:11">
      <c r="A29" s="153"/>
      <c r="B29" s="153"/>
      <c r="C29" s="156"/>
      <c r="D29" s="273"/>
      <c r="E29" s="273"/>
      <c r="F29" s="274"/>
      <c r="G29" s="274"/>
      <c r="H29" s="273"/>
      <c r="I29" s="273"/>
      <c r="J29" s="273"/>
      <c r="K29" s="100"/>
    </row>
    <row r="30" spans="1:11">
      <c r="A30" s="153"/>
      <c r="B30" s="153"/>
      <c r="C30" s="156"/>
      <c r="D30" s="100"/>
      <c r="E30" s="100"/>
      <c r="F30" s="158"/>
      <c r="G30" s="158"/>
      <c r="H30" s="153"/>
      <c r="I30" s="153"/>
      <c r="J30" s="153"/>
      <c r="K30" s="100"/>
    </row>
    <row r="31" spans="1:11">
      <c r="A31" s="153"/>
      <c r="B31" s="153"/>
      <c r="C31" s="159"/>
      <c r="D31" s="160"/>
      <c r="E31" s="160"/>
      <c r="F31" s="293">
        <f>SUM(F11:G29)</f>
        <v>0</v>
      </c>
      <c r="G31" s="294"/>
      <c r="H31" s="95"/>
      <c r="I31" s="95"/>
      <c r="J31" s="95"/>
      <c r="K31" s="100"/>
    </row>
    <row r="32" spans="1:11">
      <c r="A32" s="153"/>
      <c r="B32" s="153"/>
      <c r="C32" s="100"/>
      <c r="D32" s="100"/>
      <c r="E32" s="161"/>
      <c r="F32" s="100"/>
      <c r="G32" s="100"/>
      <c r="H32" s="100"/>
      <c r="I32" s="100"/>
      <c r="J32" s="100"/>
      <c r="K32" s="100"/>
    </row>
    <row r="33" spans="1:11">
      <c r="A33" s="153"/>
      <c r="B33" s="153"/>
      <c r="C33" s="100"/>
      <c r="D33" s="289" t="s">
        <v>10</v>
      </c>
      <c r="E33" s="289"/>
      <c r="F33" s="100"/>
      <c r="G33" s="162">
        <f>F31/1000</f>
        <v>0</v>
      </c>
      <c r="H33" s="100"/>
      <c r="I33" s="100"/>
      <c r="J33" s="100"/>
      <c r="K33" s="100"/>
    </row>
    <row r="34" spans="1:11">
      <c r="A34" s="153"/>
      <c r="B34" s="153"/>
      <c r="C34" s="100"/>
      <c r="D34" s="100"/>
      <c r="E34" s="161"/>
      <c r="F34" s="100"/>
      <c r="G34" s="100"/>
      <c r="H34" s="100"/>
      <c r="I34" s="96"/>
      <c r="J34" s="100"/>
      <c r="K34" s="100"/>
    </row>
    <row r="35" spans="1:11">
      <c r="A35" s="153"/>
      <c r="B35" s="153"/>
      <c r="C35" s="100"/>
      <c r="D35" s="100"/>
      <c r="E35" s="100"/>
      <c r="F35" s="100"/>
      <c r="G35" s="100"/>
      <c r="H35" s="100"/>
      <c r="I35" s="100"/>
      <c r="J35" s="100"/>
      <c r="K35" s="100"/>
    </row>
    <row r="36" spans="1:11">
      <c r="A36" s="153"/>
      <c r="B36" s="153"/>
      <c r="C36" s="287" t="s">
        <v>11</v>
      </c>
      <c r="D36" s="287"/>
      <c r="E36" s="287" t="s">
        <v>12</v>
      </c>
      <c r="F36" s="287"/>
      <c r="G36" s="154" t="s">
        <v>13</v>
      </c>
      <c r="H36" s="154" t="s">
        <v>14</v>
      </c>
      <c r="I36" s="100"/>
      <c r="J36" s="100"/>
      <c r="K36" s="100"/>
    </row>
    <row r="37" spans="1:11">
      <c r="A37" s="153"/>
      <c r="B37" s="153"/>
      <c r="C37" s="295" t="s">
        <v>33</v>
      </c>
      <c r="D37" s="295"/>
      <c r="E37" s="282"/>
      <c r="F37" s="282"/>
      <c r="G37" s="163" t="e">
        <f>+E37/E42</f>
        <v>#DIV/0!</v>
      </c>
      <c r="H37" s="164"/>
      <c r="I37" s="100"/>
      <c r="J37" s="100"/>
      <c r="K37" s="100"/>
    </row>
    <row r="38" spans="1:11">
      <c r="A38" s="153"/>
      <c r="B38" s="153"/>
      <c r="C38" s="273" t="s">
        <v>16</v>
      </c>
      <c r="D38" s="273"/>
      <c r="E38" s="274">
        <f>F16</f>
        <v>0</v>
      </c>
      <c r="F38" s="274"/>
      <c r="G38" s="163" t="e">
        <f>+E38/E42</f>
        <v>#DIV/0!</v>
      </c>
      <c r="H38" s="164"/>
      <c r="I38" s="100">
        <f>+E38/30</f>
        <v>0</v>
      </c>
      <c r="J38" s="100"/>
      <c r="K38" s="100"/>
    </row>
    <row r="39" spans="1:11">
      <c r="A39" s="153"/>
      <c r="B39" s="153"/>
      <c r="C39" s="273" t="s">
        <v>54</v>
      </c>
      <c r="D39" s="273"/>
      <c r="E39" s="274"/>
      <c r="F39" s="274"/>
      <c r="G39" s="163" t="e">
        <f>+E39/E42</f>
        <v>#DIV/0!</v>
      </c>
      <c r="H39" s="164"/>
      <c r="I39" s="100"/>
      <c r="J39" s="100"/>
      <c r="K39" s="100"/>
    </row>
    <row r="40" spans="1:11">
      <c r="A40" s="153"/>
      <c r="B40" s="153"/>
      <c r="C40" s="273" t="s">
        <v>55</v>
      </c>
      <c r="D40" s="273"/>
      <c r="E40" s="274">
        <f>F11+F14+F15</f>
        <v>0</v>
      </c>
      <c r="F40" s="274"/>
      <c r="G40" s="163" t="e">
        <f>+E40/E42</f>
        <v>#DIV/0!</v>
      </c>
      <c r="H40" s="164"/>
      <c r="I40" s="100">
        <f>+E40/30</f>
        <v>0</v>
      </c>
      <c r="J40" s="100"/>
      <c r="K40" s="100"/>
    </row>
    <row r="41" spans="1:11">
      <c r="A41" s="153"/>
      <c r="B41" s="153"/>
      <c r="C41" s="273" t="s">
        <v>56</v>
      </c>
      <c r="D41" s="273"/>
      <c r="E41" s="274">
        <f>F12+F13</f>
        <v>0</v>
      </c>
      <c r="F41" s="274"/>
      <c r="G41" s="163" t="e">
        <f>+E41/E42</f>
        <v>#DIV/0!</v>
      </c>
      <c r="H41" s="164"/>
      <c r="I41" s="100">
        <f>+E41/30</f>
        <v>0</v>
      </c>
      <c r="J41" s="100"/>
      <c r="K41" s="100"/>
    </row>
    <row r="42" spans="1:11">
      <c r="A42" s="153"/>
      <c r="B42" s="153"/>
      <c r="C42" s="165"/>
      <c r="D42" s="166" t="s">
        <v>20</v>
      </c>
      <c r="E42" s="329">
        <f>SUM(E37:F41)</f>
        <v>0</v>
      </c>
      <c r="F42" s="329"/>
      <c r="G42" s="167" t="e">
        <f>SUM(G37:G41)</f>
        <v>#DIV/0!</v>
      </c>
      <c r="H42" s="168">
        <f>SUM(H37:H41)</f>
        <v>0</v>
      </c>
      <c r="I42" s="100"/>
      <c r="J42" s="100"/>
      <c r="K42" s="100"/>
    </row>
    <row r="43" spans="1:11">
      <c r="A43" s="153"/>
      <c r="B43" s="153"/>
      <c r="C43" s="169"/>
      <c r="D43" s="169"/>
      <c r="E43" s="160"/>
      <c r="F43" s="160"/>
      <c r="G43" s="160"/>
      <c r="H43" s="100"/>
      <c r="I43" s="100"/>
      <c r="J43" s="100"/>
      <c r="K43" s="100"/>
    </row>
    <row r="44" spans="1:11">
      <c r="A44" s="153"/>
      <c r="B44" s="153"/>
      <c r="C44" s="100"/>
      <c r="D44" s="100"/>
      <c r="E44" s="96"/>
      <c r="F44" s="171"/>
      <c r="G44" s="172"/>
      <c r="H44" s="100"/>
      <c r="I44" s="100"/>
      <c r="J44" s="100"/>
      <c r="K44" s="100"/>
    </row>
    <row r="45" spans="1:11">
      <c r="A45" s="153"/>
      <c r="B45" s="153"/>
      <c r="C45" s="283" t="s">
        <v>7</v>
      </c>
      <c r="D45" s="284"/>
      <c r="E45" s="285"/>
      <c r="F45" s="286" t="s">
        <v>6</v>
      </c>
      <c r="G45" s="287"/>
      <c r="H45" s="154" t="s">
        <v>13</v>
      </c>
      <c r="I45" s="100"/>
      <c r="J45" s="100"/>
      <c r="K45" s="100"/>
    </row>
    <row r="46" spans="1:11">
      <c r="A46" s="153"/>
      <c r="B46" s="153"/>
      <c r="C46" s="273" t="s">
        <v>21</v>
      </c>
      <c r="D46" s="273"/>
      <c r="E46" s="273"/>
      <c r="F46" s="158"/>
      <c r="G46" s="158"/>
      <c r="H46" s="163" t="e">
        <f>+G46/F48</f>
        <v>#DIV/0!</v>
      </c>
      <c r="I46" s="100"/>
      <c r="J46" s="100"/>
      <c r="K46" s="100"/>
    </row>
    <row r="47" spans="1:11">
      <c r="A47" s="153"/>
      <c r="B47" s="153"/>
      <c r="C47" s="273" t="s">
        <v>22</v>
      </c>
      <c r="D47" s="273"/>
      <c r="E47" s="273"/>
      <c r="F47" s="158"/>
      <c r="G47" s="158">
        <f>F31</f>
        <v>0</v>
      </c>
      <c r="H47" s="163" t="e">
        <f>+G47/F48</f>
        <v>#DIV/0!</v>
      </c>
      <c r="I47" s="100"/>
      <c r="J47" s="100"/>
      <c r="K47" s="100"/>
    </row>
    <row r="48" spans="1:11">
      <c r="A48" s="153"/>
      <c r="B48" s="153"/>
      <c r="C48" s="100"/>
      <c r="D48" s="100" t="s">
        <v>20</v>
      </c>
      <c r="E48" s="100"/>
      <c r="F48" s="278">
        <f>SUM(F46:G47)</f>
        <v>0</v>
      </c>
      <c r="G48" s="278"/>
      <c r="H48" s="167" t="e">
        <f>SUM(H46:H47)</f>
        <v>#DIV/0!</v>
      </c>
      <c r="I48" s="100"/>
      <c r="J48" s="100"/>
      <c r="K48" s="100"/>
    </row>
    <row r="49" spans="1:11">
      <c r="A49" s="153"/>
      <c r="B49" s="153"/>
      <c r="C49" s="100"/>
      <c r="D49" s="100"/>
      <c r="E49" s="100"/>
      <c r="F49" s="184"/>
      <c r="G49" s="184"/>
      <c r="H49" s="185"/>
      <c r="I49" s="100"/>
      <c r="J49" s="100"/>
      <c r="K49" s="100"/>
    </row>
    <row r="50" spans="1:11">
      <c r="A50" s="153"/>
      <c r="B50" s="153"/>
      <c r="C50" s="100"/>
      <c r="D50" s="100"/>
      <c r="E50" s="100"/>
      <c r="F50" s="100"/>
      <c r="G50" s="100"/>
      <c r="H50" s="173"/>
      <c r="I50" s="100"/>
      <c r="J50" s="100"/>
      <c r="K50" s="100"/>
    </row>
    <row r="51" spans="1:11">
      <c r="A51" s="153"/>
      <c r="B51" s="153"/>
      <c r="C51" s="100"/>
      <c r="D51" s="100"/>
      <c r="E51" s="100"/>
      <c r="F51" s="100"/>
      <c r="G51" s="100"/>
      <c r="H51" s="246"/>
      <c r="I51" s="100"/>
      <c r="J51" s="100"/>
      <c r="K51" s="100"/>
    </row>
    <row r="52" spans="1:11">
      <c r="A52" s="153"/>
      <c r="B52" s="153"/>
      <c r="C52" s="100"/>
      <c r="D52" s="96"/>
      <c r="E52" s="211"/>
      <c r="F52" s="100"/>
      <c r="G52" s="100"/>
      <c r="H52" s="100"/>
      <c r="I52" s="100"/>
      <c r="J52" s="100"/>
      <c r="K52" s="100"/>
    </row>
    <row r="53" spans="1:11">
      <c r="A53" s="153"/>
      <c r="B53" s="153"/>
      <c r="C53" s="100"/>
      <c r="D53" s="100"/>
      <c r="E53" s="279" t="s">
        <v>23</v>
      </c>
      <c r="F53" s="279"/>
      <c r="G53" s="279"/>
      <c r="H53" s="279"/>
      <c r="I53" s="100"/>
      <c r="J53" s="100"/>
      <c r="K53" s="100"/>
    </row>
    <row r="54" spans="1:11">
      <c r="A54" s="153"/>
      <c r="B54" s="153"/>
      <c r="C54" s="100"/>
      <c r="D54" s="212"/>
      <c r="E54" s="100"/>
      <c r="F54" s="100"/>
      <c r="G54" s="100"/>
      <c r="H54" s="100"/>
      <c r="I54" s="100"/>
      <c r="J54" s="100"/>
      <c r="K54" s="100"/>
    </row>
    <row r="55" spans="1:11">
      <c r="A55" s="100"/>
      <c r="B55" s="100"/>
      <c r="C55" s="100"/>
      <c r="D55" s="213" t="s">
        <v>24</v>
      </c>
      <c r="E55" s="297" t="s">
        <v>25</v>
      </c>
      <c r="F55" s="298"/>
      <c r="G55" s="297" t="s">
        <v>26</v>
      </c>
      <c r="H55" s="298"/>
      <c r="I55" s="100"/>
      <c r="J55" s="100"/>
      <c r="K55" s="100"/>
    </row>
    <row r="56" spans="1:11">
      <c r="A56" s="100"/>
      <c r="B56" s="100"/>
      <c r="C56" s="100"/>
      <c r="D56" s="214" t="s">
        <v>27</v>
      </c>
      <c r="E56" s="215" t="s">
        <v>28</v>
      </c>
      <c r="F56" s="215" t="s">
        <v>29</v>
      </c>
      <c r="G56" s="227" t="s">
        <v>28</v>
      </c>
      <c r="H56" s="227" t="s">
        <v>29</v>
      </c>
      <c r="I56" s="100"/>
      <c r="J56" s="100"/>
      <c r="K56" s="100"/>
    </row>
    <row r="57" spans="1:11">
      <c r="A57" s="100"/>
      <c r="B57" s="100"/>
      <c r="C57" s="100"/>
      <c r="D57" s="190" t="s">
        <v>30</v>
      </c>
      <c r="E57" s="198">
        <f>Comparativo!AY13</f>
        <v>559.32000000000005</v>
      </c>
      <c r="F57" s="252">
        <f>Comparativo!AZ13</f>
        <v>15</v>
      </c>
      <c r="G57" s="250">
        <f>ENE!$G$46</f>
        <v>123.39</v>
      </c>
      <c r="H57" s="207">
        <f>ENE!$H$55</f>
        <v>4</v>
      </c>
      <c r="I57" s="100"/>
      <c r="J57" s="100">
        <f t="shared" ref="J57:J63" si="0">+G57*1000</f>
        <v>123390</v>
      </c>
      <c r="K57" s="100">
        <f t="shared" ref="K57:K63" si="1">+J57/30</f>
        <v>4113</v>
      </c>
    </row>
    <row r="58" spans="1:11">
      <c r="A58" s="100"/>
      <c r="B58" s="100"/>
      <c r="C58" s="100"/>
      <c r="D58" s="190" t="s">
        <v>34</v>
      </c>
      <c r="E58" s="220">
        <f>Comparativo!AY14</f>
        <v>437.76</v>
      </c>
      <c r="F58" s="247">
        <f>Comparativo!AZ14</f>
        <v>19</v>
      </c>
      <c r="G58" s="192">
        <f>FEB!$G$48</f>
        <v>176.79</v>
      </c>
      <c r="H58" s="191">
        <f>FEB!$H$57</f>
        <v>6</v>
      </c>
      <c r="I58" s="100"/>
      <c r="J58" s="100">
        <f t="shared" si="0"/>
        <v>176790</v>
      </c>
      <c r="K58" s="100">
        <f t="shared" si="1"/>
        <v>5893</v>
      </c>
    </row>
    <row r="59" spans="1:11">
      <c r="A59" s="100"/>
      <c r="B59" s="100"/>
      <c r="C59" s="100"/>
      <c r="D59" s="197" t="s">
        <v>38</v>
      </c>
      <c r="E59" s="220">
        <f>Comparativo!AY15</f>
        <v>541.5</v>
      </c>
      <c r="F59" s="247">
        <f>Comparativo!AZ15</f>
        <v>15</v>
      </c>
      <c r="G59" s="192">
        <f>MAR!$G$43</f>
        <v>370.56</v>
      </c>
      <c r="H59" s="191">
        <f>MAR!$H$51</f>
        <v>11</v>
      </c>
      <c r="I59" s="100"/>
      <c r="J59" s="100">
        <f t="shared" si="0"/>
        <v>370560</v>
      </c>
      <c r="K59" s="100">
        <f t="shared" si="1"/>
        <v>12352</v>
      </c>
    </row>
    <row r="60" spans="1:11">
      <c r="A60" s="100"/>
      <c r="B60" s="100"/>
      <c r="C60" s="100"/>
      <c r="D60" s="197" t="s">
        <v>44</v>
      </c>
      <c r="E60" s="220">
        <f>Comparativo!AY16</f>
        <v>509.58</v>
      </c>
      <c r="F60" s="247">
        <f>Comparativo!AZ16</f>
        <v>18</v>
      </c>
      <c r="G60" s="192">
        <f>ABR!$G$41</f>
        <v>201.99</v>
      </c>
      <c r="H60" s="191">
        <f>ABR!$H$50</f>
        <v>8</v>
      </c>
      <c r="I60" s="100"/>
      <c r="J60" s="100">
        <f t="shared" si="0"/>
        <v>201990</v>
      </c>
      <c r="K60" s="100">
        <f t="shared" si="1"/>
        <v>6733</v>
      </c>
    </row>
    <row r="61" spans="1:11">
      <c r="A61" s="100"/>
      <c r="B61" s="100"/>
      <c r="C61" s="100"/>
      <c r="D61" s="190" t="s">
        <v>46</v>
      </c>
      <c r="E61" s="220">
        <f>Comparativo!AY17</f>
        <v>38.22</v>
      </c>
      <c r="F61" s="247">
        <f>Comparativo!AZ17</f>
        <v>2</v>
      </c>
      <c r="G61" s="220">
        <f>MAY!$G$44</f>
        <v>60.9</v>
      </c>
      <c r="H61" s="219">
        <f>MAY!$H$52</f>
        <v>2</v>
      </c>
      <c r="I61" s="100"/>
      <c r="J61" s="100">
        <f t="shared" si="0"/>
        <v>60900</v>
      </c>
      <c r="K61" s="100">
        <f t="shared" si="1"/>
        <v>2030</v>
      </c>
    </row>
    <row r="62" spans="1:11">
      <c r="A62" s="100"/>
      <c r="B62" s="100"/>
      <c r="C62" s="100"/>
      <c r="D62" s="197" t="s">
        <v>48</v>
      </c>
      <c r="E62" s="220">
        <f>Comparativo!AY18</f>
        <v>136.56</v>
      </c>
      <c r="F62" s="247">
        <f>Comparativo!AZ18</f>
        <v>2</v>
      </c>
      <c r="G62" s="220">
        <f>JUN!$G$33</f>
        <v>0</v>
      </c>
      <c r="H62" s="219">
        <f>JUN!$H$42</f>
        <v>0</v>
      </c>
      <c r="I62" s="100"/>
      <c r="J62" s="100">
        <f t="shared" si="0"/>
        <v>0</v>
      </c>
      <c r="K62" s="100">
        <f t="shared" si="1"/>
        <v>0</v>
      </c>
    </row>
    <row r="63" spans="1:11">
      <c r="A63" s="100"/>
      <c r="B63" s="100"/>
      <c r="C63" s="100"/>
      <c r="D63" s="193" t="s">
        <v>57</v>
      </c>
      <c r="E63" s="222">
        <f>Comparativo!AY20</f>
        <v>380.88</v>
      </c>
      <c r="F63" s="248">
        <f>Comparativo!AZ20</f>
        <v>6</v>
      </c>
      <c r="G63" s="222">
        <f>G33</f>
        <v>0</v>
      </c>
      <c r="H63" s="223">
        <f>H42</f>
        <v>0</v>
      </c>
      <c r="I63" s="100"/>
      <c r="J63" s="100">
        <f t="shared" si="0"/>
        <v>0</v>
      </c>
      <c r="K63" s="100">
        <f t="shared" si="1"/>
        <v>0</v>
      </c>
    </row>
    <row r="64" spans="1:11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</row>
    <row r="65" spans="1:11">
      <c r="A65" s="100"/>
      <c r="B65" s="100"/>
      <c r="C65" s="100"/>
      <c r="D65" s="100"/>
      <c r="E65" s="179">
        <f>SUM(E57:E64)</f>
        <v>2603.8199999999997</v>
      </c>
      <c r="F65" s="180">
        <f>SUM(F57:F64)</f>
        <v>77</v>
      </c>
      <c r="G65" s="179">
        <f>SUM(G57:G63)</f>
        <v>933.63</v>
      </c>
      <c r="H65" s="180">
        <f>SUM(H57:H63)</f>
        <v>31</v>
      </c>
      <c r="I65" s="100"/>
      <c r="J65" s="100"/>
      <c r="K65" s="100"/>
    </row>
    <row r="66" spans="1:11">
      <c r="A66" s="100"/>
      <c r="B66" s="100"/>
      <c r="C66" s="100"/>
      <c r="D66" s="100"/>
      <c r="E66" s="100"/>
      <c r="F66" s="100"/>
      <c r="G66" s="100"/>
      <c r="H66" s="100"/>
      <c r="I66" s="100"/>
      <c r="J66" s="100"/>
    </row>
    <row r="67" spans="1:11">
      <c r="A67" s="100"/>
      <c r="B67" s="100"/>
      <c r="C67" s="100"/>
      <c r="D67" s="100"/>
      <c r="E67" s="100"/>
      <c r="F67" s="100"/>
      <c r="G67" s="100"/>
      <c r="H67" s="100"/>
      <c r="I67" s="100"/>
      <c r="J67" s="100"/>
    </row>
    <row r="68" spans="1:11">
      <c r="A68" s="100"/>
      <c r="B68" s="100"/>
      <c r="C68" s="100"/>
      <c r="D68" s="100"/>
      <c r="E68" s="100"/>
      <c r="F68" s="100"/>
      <c r="G68" s="100"/>
      <c r="H68" s="100"/>
      <c r="I68" s="100"/>
      <c r="J68" s="100"/>
    </row>
    <row r="69" spans="1:11">
      <c r="A69" s="100"/>
      <c r="B69" s="100"/>
      <c r="C69" s="100"/>
      <c r="D69" s="100"/>
      <c r="E69" s="100"/>
      <c r="F69" s="100"/>
      <c r="G69" s="100"/>
      <c r="H69" s="100"/>
      <c r="I69" s="100"/>
      <c r="J69" s="100"/>
    </row>
    <row r="70" spans="1:11">
      <c r="A70" s="100"/>
      <c r="B70" s="100"/>
      <c r="C70" s="100"/>
      <c r="D70" s="100"/>
      <c r="E70" s="100"/>
      <c r="F70" s="100"/>
      <c r="G70" s="100"/>
      <c r="H70" s="100"/>
      <c r="I70" s="100"/>
      <c r="J70" s="100"/>
    </row>
    <row r="71" spans="1:11">
      <c r="A71" s="100"/>
      <c r="B71" s="100"/>
      <c r="C71" s="100"/>
      <c r="D71" s="100"/>
      <c r="E71" s="100"/>
      <c r="F71" s="100"/>
      <c r="G71" s="100"/>
      <c r="H71" s="100"/>
      <c r="I71" s="100"/>
      <c r="J71" s="100"/>
    </row>
    <row r="72" spans="1:11">
      <c r="A72" s="100"/>
      <c r="B72" s="100"/>
      <c r="C72" s="100"/>
      <c r="D72" s="100"/>
      <c r="E72" s="100"/>
      <c r="F72" s="100"/>
      <c r="G72" s="100"/>
      <c r="H72" s="100"/>
      <c r="I72" s="100"/>
      <c r="J72" s="100"/>
    </row>
    <row r="73" spans="1:11">
      <c r="A73" s="100"/>
      <c r="B73" s="100"/>
      <c r="C73" s="100"/>
      <c r="D73" s="100"/>
      <c r="E73" s="100"/>
      <c r="F73" s="100"/>
      <c r="G73" s="100"/>
      <c r="H73" s="100"/>
      <c r="I73" s="100"/>
      <c r="J73" s="100"/>
    </row>
    <row r="74" spans="1:11">
      <c r="A74" s="100"/>
      <c r="B74" s="100"/>
      <c r="C74" s="100"/>
      <c r="D74" s="100"/>
      <c r="E74" s="100"/>
      <c r="F74" s="100"/>
      <c r="G74" s="100"/>
      <c r="H74" s="100"/>
      <c r="I74" s="100"/>
      <c r="J74" s="100"/>
    </row>
    <row r="75" spans="1:11">
      <c r="A75" s="100"/>
      <c r="B75" s="100"/>
      <c r="C75" s="100"/>
      <c r="D75" s="100"/>
      <c r="E75" s="100"/>
      <c r="F75" s="100"/>
      <c r="G75" s="100"/>
      <c r="H75" s="100"/>
      <c r="I75" s="100"/>
      <c r="J75" s="100"/>
    </row>
    <row r="76" spans="1:11">
      <c r="A76" s="100"/>
      <c r="B76" s="100"/>
      <c r="C76" s="100"/>
      <c r="D76" s="100"/>
      <c r="E76" s="100"/>
      <c r="F76" s="100"/>
      <c r="G76" s="100"/>
      <c r="H76" s="100"/>
      <c r="I76" s="100"/>
      <c r="J76" s="100"/>
    </row>
    <row r="77" spans="1:11">
      <c r="A77" s="100"/>
      <c r="B77" s="100"/>
      <c r="C77" s="100"/>
      <c r="D77" s="100"/>
      <c r="E77" s="100"/>
      <c r="F77" s="100"/>
      <c r="G77" s="100"/>
      <c r="H77" s="96"/>
      <c r="I77" s="100"/>
      <c r="J77" s="100"/>
    </row>
    <row r="78" spans="1:11">
      <c r="A78" s="100"/>
      <c r="B78" s="100"/>
      <c r="C78" s="100"/>
      <c r="D78" s="100"/>
      <c r="E78" s="100"/>
      <c r="F78" s="100"/>
      <c r="G78" s="100"/>
      <c r="H78" s="100"/>
      <c r="I78" s="100"/>
      <c r="J78" s="100"/>
    </row>
    <row r="79" spans="1:11">
      <c r="A79" s="100"/>
      <c r="B79" s="100"/>
      <c r="C79" s="100"/>
      <c r="D79" s="100"/>
      <c r="E79" s="100"/>
      <c r="F79" s="100"/>
      <c r="G79" s="100"/>
      <c r="H79" s="100"/>
      <c r="I79" s="100"/>
      <c r="J79" s="100"/>
    </row>
    <row r="144" spans="3:3">
      <c r="C144" s="199">
        <v>9142.18</v>
      </c>
    </row>
  </sheetData>
  <mergeCells count="84">
    <mergeCell ref="E55:F55"/>
    <mergeCell ref="G55:H55"/>
    <mergeCell ref="F21:G21"/>
    <mergeCell ref="H21:J21"/>
    <mergeCell ref="D33:E33"/>
    <mergeCell ref="D24:E24"/>
    <mergeCell ref="F24:G24"/>
    <mergeCell ref="H24:J24"/>
    <mergeCell ref="D22:E22"/>
    <mergeCell ref="H23:J23"/>
    <mergeCell ref="H28:J28"/>
    <mergeCell ref="E36:F36"/>
    <mergeCell ref="H29:J29"/>
    <mergeCell ref="F31:G31"/>
    <mergeCell ref="C37:D37"/>
    <mergeCell ref="D28:E28"/>
    <mergeCell ref="D10:E10"/>
    <mergeCell ref="F10:G10"/>
    <mergeCell ref="H10:J10"/>
    <mergeCell ref="D15:E15"/>
    <mergeCell ref="F15:G15"/>
    <mergeCell ref="H15:J15"/>
    <mergeCell ref="H12:J12"/>
    <mergeCell ref="D13:E13"/>
    <mergeCell ref="F13:G13"/>
    <mergeCell ref="F11:G11"/>
    <mergeCell ref="D11:E11"/>
    <mergeCell ref="D12:E12"/>
    <mergeCell ref="F12:G12"/>
    <mergeCell ref="D20:E20"/>
    <mergeCell ref="F20:G20"/>
    <mergeCell ref="H20:J20"/>
    <mergeCell ref="H13:J13"/>
    <mergeCell ref="H16:J16"/>
    <mergeCell ref="D14:E14"/>
    <mergeCell ref="F14:G14"/>
    <mergeCell ref="D16:E16"/>
    <mergeCell ref="F16:G16"/>
    <mergeCell ref="F28:G28"/>
    <mergeCell ref="E37:F37"/>
    <mergeCell ref="C47:E47"/>
    <mergeCell ref="C40:D40"/>
    <mergeCell ref="E40:F40"/>
    <mergeCell ref="C39:D39"/>
    <mergeCell ref="C38:D38"/>
    <mergeCell ref="E38:F38"/>
    <mergeCell ref="E39:F39"/>
    <mergeCell ref="C36:D36"/>
    <mergeCell ref="D29:E29"/>
    <mergeCell ref="F29:G29"/>
    <mergeCell ref="E53:H53"/>
    <mergeCell ref="C41:D41"/>
    <mergeCell ref="E41:F41"/>
    <mergeCell ref="E42:F42"/>
    <mergeCell ref="C45:E45"/>
    <mergeCell ref="F45:G45"/>
    <mergeCell ref="C46:E46"/>
    <mergeCell ref="F48:G48"/>
    <mergeCell ref="D27:E27"/>
    <mergeCell ref="F27:G27"/>
    <mergeCell ref="H27:J27"/>
    <mergeCell ref="D21:E21"/>
    <mergeCell ref="F22:G22"/>
    <mergeCell ref="H22:J22"/>
    <mergeCell ref="D25:E25"/>
    <mergeCell ref="F25:G25"/>
    <mergeCell ref="H25:J25"/>
    <mergeCell ref="D23:E23"/>
    <mergeCell ref="E7:H7"/>
    <mergeCell ref="H11:J11"/>
    <mergeCell ref="D26:E26"/>
    <mergeCell ref="F26:G26"/>
    <mergeCell ref="H26:J26"/>
    <mergeCell ref="D17:E17"/>
    <mergeCell ref="F17:G17"/>
    <mergeCell ref="H17:J17"/>
    <mergeCell ref="D19:E19"/>
    <mergeCell ref="F19:G19"/>
    <mergeCell ref="H19:J19"/>
    <mergeCell ref="F23:G23"/>
    <mergeCell ref="H14:J14"/>
    <mergeCell ref="D18:E18"/>
    <mergeCell ref="F18:G18"/>
    <mergeCell ref="H18:J18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PATAGONIA NORTE S.A.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Fabiana Sar</dc:creator>
  <cp:keywords/>
  <dc:description/>
  <cp:lastModifiedBy>Fernando Alcarraz</cp:lastModifiedBy>
  <cp:revision/>
  <dcterms:created xsi:type="dcterms:W3CDTF">2000-02-12T15:57:40Z</dcterms:created>
  <dcterms:modified xsi:type="dcterms:W3CDTF">2024-01-02T12:40:52Z</dcterms:modified>
  <cp:category/>
  <cp:contentStatus/>
</cp:coreProperties>
</file>