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drawings/drawing16.xml" ContentType="application/vnd.openxmlformats-officedocument.drawingml.chartshapes+xml"/>
  <Override PartName="/xl/charts/chart2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falcarraz_patagonia-norte_com_ar/Documents/Documentos/Archivos Laburo Administ/Pesca/Estad/"/>
    </mc:Choice>
  </mc:AlternateContent>
  <xr:revisionPtr revIDLastSave="216" documentId="13_ncr:1_{F691B04E-417A-410C-B851-D2E0CF1B3F39}" xr6:coauthVersionLast="47" xr6:coauthVersionMax="47" xr10:uidLastSave="{D4182D6F-A1B1-49CA-A47A-2C82E92F885C}"/>
  <bookViews>
    <workbookView xWindow="-120" yWindow="-120" windowWidth="29040" windowHeight="15840" tabRatio="735" firstSheet="13" activeTab="15" xr2:uid="{00000000-000D-0000-FFFF-FFFF00000000}"/>
  </bookViews>
  <sheets>
    <sheet name="CARÁT" sheetId="18" r:id="rId1"/>
    <sheet name="ENE" sheetId="4" r:id="rId2"/>
    <sheet name="FEB" sheetId="16" r:id="rId3"/>
    <sheet name="MAR" sheetId="15" r:id="rId4"/>
    <sheet name="ABR" sheetId="14" r:id="rId5"/>
    <sheet name="MAY" sheetId="13" r:id="rId6"/>
    <sheet name="JUN" sheetId="12" r:id="rId7"/>
    <sheet name="1º SEM" sheetId="11" r:id="rId8"/>
    <sheet name="JUL" sheetId="10" r:id="rId9"/>
    <sheet name="AGO" sheetId="9" r:id="rId10"/>
    <sheet name="SEP" sheetId="8" r:id="rId11"/>
    <sheet name="OCT" sheetId="7" r:id="rId12"/>
    <sheet name="NOV" sheetId="22" r:id="rId13"/>
    <sheet name="DIC" sheetId="19" r:id="rId14"/>
    <sheet name="Comparativos" sheetId="20" r:id="rId15"/>
    <sheet name="Mov x Buque" sheetId="21" r:id="rId16"/>
  </sheets>
  <definedNames>
    <definedName name="_xlnm._FilterDatabase" localSheetId="1" hidden="1">ENE!$A$1:$J$83</definedName>
    <definedName name="_xlnm._FilterDatabase" localSheetId="2" hidden="1">FEB!$A$1:$J$88</definedName>
    <definedName name="_xlnm._FilterDatabase" localSheetId="10" hidden="1">SEP!$B$1:$B$95</definedName>
    <definedName name="_xlnm.Print_Area" localSheetId="4">ABR!$A$1:$J$74</definedName>
    <definedName name="_xlnm.Print_Area" localSheetId="9">AGO!$A$1:$J$72</definedName>
    <definedName name="_xlnm.Print_Area" localSheetId="14">Comparativos!$A$1:$BF$75</definedName>
    <definedName name="_xlnm.Print_Area" localSheetId="13">DIC!$A$1:$J$88</definedName>
    <definedName name="_xlnm.Print_Area" localSheetId="1">ENE!$A$1:$J$76</definedName>
    <definedName name="_xlnm.Print_Area" localSheetId="2">FEB!$A$1:$J$82</definedName>
    <definedName name="_xlnm.Print_Area" localSheetId="8">JUL!$A$1:$J$73</definedName>
    <definedName name="_xlnm.Print_Area" localSheetId="6">JUN!$A$1:$J$71</definedName>
    <definedName name="_xlnm.Print_Area" localSheetId="3">MAR!$A$1:$J$74</definedName>
    <definedName name="_xlnm.Print_Area" localSheetId="5">MAY!$A$1:$J$77</definedName>
    <definedName name="_xlnm.Print_Area" localSheetId="15">'Mov x Buque'!$A$1:$O$73</definedName>
    <definedName name="_xlnm.Print_Area" localSheetId="12">NOV!$A$1:$J$84</definedName>
    <definedName name="_xlnm.Print_Area" localSheetId="11">OCT!$A$1:$J$86</definedName>
    <definedName name="_xlnm.Print_Area" localSheetId="10">SEP!$A$1:$J$90</definedName>
    <definedName name="_xlnm.Print_Titles" localSheetId="14">Comparativos!$1:$8</definedName>
    <definedName name="_xlnm.Print_Titles" localSheetId="8">JUL!$1:$7</definedName>
    <definedName name="_xlnm.Print_Titles" localSheetId="11">OCT!$1:$9</definedName>
    <definedName name="_xlnm.Print_Titles" localSheetId="10">SEP!$1:$9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9" l="1"/>
  <c r="E45" i="22"/>
  <c r="E44" i="7"/>
  <c r="E48" i="8"/>
  <c r="E39" i="9"/>
  <c r="E37" i="10"/>
  <c r="BE18" i="20"/>
  <c r="E37" i="12"/>
  <c r="E46" i="15"/>
  <c r="E52" i="16"/>
  <c r="E50" i="4"/>
  <c r="E51" i="4"/>
  <c r="C13" i="21"/>
  <c r="F13" i="21"/>
  <c r="G13" i="21"/>
  <c r="BE17" i="20"/>
  <c r="BE16" i="20"/>
  <c r="F78" i="19" l="1"/>
  <c r="F77" i="19"/>
  <c r="F76" i="19"/>
  <c r="F75" i="19"/>
  <c r="F74" i="19"/>
  <c r="F73" i="19"/>
  <c r="F72" i="19"/>
  <c r="F71" i="19"/>
  <c r="F70" i="19"/>
  <c r="F69" i="19"/>
  <c r="F68" i="19"/>
  <c r="F67" i="19"/>
  <c r="E78" i="19"/>
  <c r="E77" i="19"/>
  <c r="E76" i="19"/>
  <c r="E75" i="19"/>
  <c r="E74" i="19"/>
  <c r="E73" i="19"/>
  <c r="E72" i="19"/>
  <c r="E71" i="19"/>
  <c r="E70" i="19"/>
  <c r="E69" i="19"/>
  <c r="E68" i="19"/>
  <c r="F76" i="22"/>
  <c r="F75" i="22"/>
  <c r="F74" i="22"/>
  <c r="F73" i="22"/>
  <c r="F72" i="22"/>
  <c r="F71" i="22"/>
  <c r="F70" i="22"/>
  <c r="F69" i="22"/>
  <c r="F68" i="22"/>
  <c r="F67" i="22"/>
  <c r="F66" i="22"/>
  <c r="E76" i="22"/>
  <c r="E75" i="22"/>
  <c r="E74" i="22"/>
  <c r="E73" i="22"/>
  <c r="E72" i="22"/>
  <c r="E71" i="22"/>
  <c r="E70" i="22"/>
  <c r="E69" i="22"/>
  <c r="E68" i="22"/>
  <c r="E67" i="22"/>
  <c r="F77" i="7"/>
  <c r="F76" i="7"/>
  <c r="F75" i="7"/>
  <c r="F74" i="7"/>
  <c r="F73" i="7"/>
  <c r="F72" i="7"/>
  <c r="F71" i="7"/>
  <c r="F70" i="7"/>
  <c r="F69" i="7"/>
  <c r="E77" i="7"/>
  <c r="E76" i="7"/>
  <c r="E75" i="7"/>
  <c r="E74" i="7"/>
  <c r="E73" i="7"/>
  <c r="E72" i="7"/>
  <c r="E71" i="7"/>
  <c r="E70" i="7"/>
  <c r="E69" i="7"/>
  <c r="F79" i="8"/>
  <c r="F78" i="8"/>
  <c r="F77" i="8"/>
  <c r="F76" i="8"/>
  <c r="F75" i="8"/>
  <c r="F74" i="8"/>
  <c r="F73" i="8"/>
  <c r="F72" i="8"/>
  <c r="E79" i="8"/>
  <c r="E78" i="8"/>
  <c r="E77" i="8"/>
  <c r="E76" i="8"/>
  <c r="E75" i="8"/>
  <c r="E74" i="8"/>
  <c r="E73" i="8"/>
  <c r="E72" i="8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63" i="10"/>
  <c r="F62" i="10"/>
  <c r="F61" i="10"/>
  <c r="F60" i="10"/>
  <c r="F59" i="10"/>
  <c r="F58" i="10"/>
  <c r="E63" i="10"/>
  <c r="E62" i="10"/>
  <c r="E61" i="10"/>
  <c r="E60" i="10"/>
  <c r="E59" i="10"/>
  <c r="E58" i="10"/>
  <c r="F62" i="12"/>
  <c r="D20" i="11" s="1"/>
  <c r="F61" i="12"/>
  <c r="F60" i="12"/>
  <c r="F59" i="12"/>
  <c r="F58" i="12"/>
  <c r="E62" i="12"/>
  <c r="E61" i="12"/>
  <c r="E60" i="12"/>
  <c r="E59" i="12"/>
  <c r="E58" i="12"/>
  <c r="F67" i="13"/>
  <c r="D19" i="11" s="1"/>
  <c r="F66" i="13"/>
  <c r="F65" i="13"/>
  <c r="F64" i="13"/>
  <c r="E67" i="13"/>
  <c r="E66" i="13"/>
  <c r="E65" i="13"/>
  <c r="E64" i="13"/>
  <c r="F65" i="14"/>
  <c r="D18" i="11" s="1"/>
  <c r="F64" i="14"/>
  <c r="F63" i="14"/>
  <c r="E65" i="14"/>
  <c r="E64" i="14"/>
  <c r="E63" i="14"/>
  <c r="F65" i="15"/>
  <c r="D17" i="11" s="1"/>
  <c r="E65" i="15"/>
  <c r="F72" i="16"/>
  <c r="D16" i="11" s="1"/>
  <c r="E72" i="16"/>
  <c r="F57" i="10"/>
  <c r="F57" i="12"/>
  <c r="F64" i="15"/>
  <c r="E64" i="15"/>
  <c r="E67" i="19"/>
  <c r="E66" i="22"/>
  <c r="F68" i="7"/>
  <c r="E68" i="7"/>
  <c r="F71" i="8"/>
  <c r="E71" i="8"/>
  <c r="F58" i="9"/>
  <c r="E58" i="9"/>
  <c r="E57" i="10"/>
  <c r="E57" i="12"/>
  <c r="F63" i="13"/>
  <c r="E63" i="13"/>
  <c r="F62" i="14"/>
  <c r="E62" i="14"/>
  <c r="F63" i="15"/>
  <c r="E63" i="15"/>
  <c r="F71" i="16"/>
  <c r="E71" i="16"/>
  <c r="F67" i="4"/>
  <c r="D15" i="11" s="1"/>
  <c r="E67" i="4"/>
  <c r="C11" i="21"/>
  <c r="C7" i="21"/>
  <c r="AZ19" i="20"/>
  <c r="AX19" i="20"/>
  <c r="AV19" i="20"/>
  <c r="AT19" i="20"/>
  <c r="AR19" i="20"/>
  <c r="AP19" i="20"/>
  <c r="AN19" i="20"/>
  <c r="AY19" i="20"/>
  <c r="AW19" i="20"/>
  <c r="AU19" i="20"/>
  <c r="AS19" i="20"/>
  <c r="AQ19" i="20"/>
  <c r="AO19" i="20"/>
  <c r="AM19" i="20"/>
  <c r="AY27" i="20"/>
  <c r="AZ27" i="20"/>
  <c r="C20" i="21"/>
  <c r="C10" i="21"/>
  <c r="C22" i="21"/>
  <c r="C26" i="21"/>
  <c r="C25" i="21"/>
  <c r="C17" i="21"/>
  <c r="C16" i="21"/>
  <c r="C47" i="21" s="1"/>
  <c r="C24" i="21"/>
  <c r="C9" i="21"/>
  <c r="C28" i="21"/>
  <c r="C27" i="21"/>
  <c r="C21" i="21"/>
  <c r="C18" i="21"/>
  <c r="C5" i="21"/>
  <c r="F41" i="15"/>
  <c r="AS27" i="20"/>
  <c r="F44" i="4"/>
  <c r="E7" i="21" l="1"/>
  <c r="E13" i="21"/>
  <c r="E81" i="8"/>
  <c r="E11" i="21"/>
  <c r="H40" i="20"/>
  <c r="E17" i="21"/>
  <c r="G50" i="4"/>
  <c r="E24" i="21"/>
  <c r="E26" i="21"/>
  <c r="E22" i="21"/>
  <c r="E10" i="21"/>
  <c r="E15" i="21"/>
  <c r="E9" i="21"/>
  <c r="E25" i="21"/>
  <c r="F55" i="15"/>
  <c r="E12" i="21"/>
  <c r="G46" i="4"/>
  <c r="G67" i="4" s="1"/>
  <c r="BC13" i="20" s="1"/>
  <c r="BE13" i="20" s="1"/>
  <c r="F60" i="4"/>
  <c r="F67" i="9"/>
  <c r="G57" i="10" l="1"/>
  <c r="G58" i="9"/>
  <c r="G68" i="7"/>
  <c r="G62" i="14"/>
  <c r="G57" i="12"/>
  <c r="G71" i="8"/>
  <c r="G67" i="19"/>
  <c r="G71" i="16"/>
  <c r="G63" i="15"/>
  <c r="G66" i="22"/>
  <c r="G63" i="13"/>
  <c r="E69" i="4"/>
  <c r="E74" i="16"/>
  <c r="C15" i="11"/>
  <c r="E15" i="11" s="1"/>
  <c r="AW27" i="20"/>
  <c r="BB69" i="20" s="1"/>
  <c r="AX27" i="20"/>
  <c r="AX29" i="20" s="1"/>
  <c r="AU27" i="20"/>
  <c r="AV27" i="20"/>
  <c r="AV29" i="20" s="1"/>
  <c r="E42" i="10"/>
  <c r="E51" i="15"/>
  <c r="C38" i="21"/>
  <c r="C19" i="21"/>
  <c r="C20" i="11"/>
  <c r="C19" i="11"/>
  <c r="C18" i="11"/>
  <c r="C17" i="11"/>
  <c r="C16" i="11"/>
  <c r="E67" i="14"/>
  <c r="E67" i="15"/>
  <c r="E53" i="8"/>
  <c r="G50" i="8" s="1"/>
  <c r="F34" i="9"/>
  <c r="F46" i="16"/>
  <c r="D13" i="21" s="1"/>
  <c r="C39" i="21"/>
  <c r="G48" i="15"/>
  <c r="AT27" i="20"/>
  <c r="AT29" i="20" s="1"/>
  <c r="J7" i="19"/>
  <c r="J7" i="22"/>
  <c r="J7" i="7"/>
  <c r="J7" i="8"/>
  <c r="J7" i="9"/>
  <c r="J7" i="10"/>
  <c r="J7" i="12"/>
  <c r="J7" i="13"/>
  <c r="J7" i="14"/>
  <c r="J7" i="15"/>
  <c r="J7" i="16"/>
  <c r="J7" i="4"/>
  <c r="N14" i="21"/>
  <c r="N48" i="21" s="1"/>
  <c r="C6" i="21"/>
  <c r="C8" i="21"/>
  <c r="C37" i="21" s="1"/>
  <c r="C12" i="21"/>
  <c r="C14" i="21"/>
  <c r="C48" i="21" s="1"/>
  <c r="C15" i="21"/>
  <c r="C23" i="21"/>
  <c r="C46" i="21" s="1"/>
  <c r="C29" i="21"/>
  <c r="C36" i="21" s="1"/>
  <c r="C30" i="21"/>
  <c r="C13" i="20"/>
  <c r="E13" i="20"/>
  <c r="G13" i="20"/>
  <c r="I13" i="20"/>
  <c r="C14" i="20"/>
  <c r="E14" i="20"/>
  <c r="G14" i="20"/>
  <c r="I14" i="20"/>
  <c r="C15" i="20"/>
  <c r="E15" i="20"/>
  <c r="G15" i="20"/>
  <c r="I15" i="20"/>
  <c r="C16" i="20"/>
  <c r="E16" i="20"/>
  <c r="G16" i="20"/>
  <c r="I16" i="20"/>
  <c r="C17" i="20"/>
  <c r="E17" i="20"/>
  <c r="G17" i="20"/>
  <c r="I17" i="20"/>
  <c r="C18" i="20"/>
  <c r="E18" i="20"/>
  <c r="G18" i="20"/>
  <c r="I18" i="20"/>
  <c r="D19" i="20"/>
  <c r="F19" i="20"/>
  <c r="H19" i="20"/>
  <c r="J19" i="20"/>
  <c r="K19" i="20"/>
  <c r="L19" i="20"/>
  <c r="M19" i="20"/>
  <c r="N19" i="20"/>
  <c r="O19" i="20"/>
  <c r="P19" i="20"/>
  <c r="S19" i="20"/>
  <c r="T19" i="20"/>
  <c r="U19" i="20"/>
  <c r="V19" i="20"/>
  <c r="W19" i="20"/>
  <c r="X19" i="20"/>
  <c r="Y19" i="20"/>
  <c r="Z19" i="20"/>
  <c r="AA19" i="20"/>
  <c r="AB19" i="20"/>
  <c r="AF19" i="20"/>
  <c r="AG19" i="20"/>
  <c r="AH19" i="20"/>
  <c r="AI19" i="20"/>
  <c r="AK19" i="20"/>
  <c r="AL19" i="20"/>
  <c r="C20" i="20"/>
  <c r="E20" i="20"/>
  <c r="G20" i="20"/>
  <c r="I20" i="20"/>
  <c r="C21" i="20"/>
  <c r="E21" i="20"/>
  <c r="G21" i="20"/>
  <c r="I21" i="20"/>
  <c r="C22" i="20"/>
  <c r="E22" i="20"/>
  <c r="G22" i="20"/>
  <c r="I22" i="20"/>
  <c r="C23" i="20"/>
  <c r="E23" i="20"/>
  <c r="G23" i="20"/>
  <c r="I23" i="20"/>
  <c r="C24" i="20"/>
  <c r="E24" i="20"/>
  <c r="G24" i="20"/>
  <c r="I24" i="20"/>
  <c r="C25" i="20"/>
  <c r="E25" i="20"/>
  <c r="G25" i="20"/>
  <c r="I25" i="20"/>
  <c r="K25" i="20"/>
  <c r="K27" i="20" s="1"/>
  <c r="BB50" i="20" s="1"/>
  <c r="L25" i="20"/>
  <c r="L27" i="20" s="1"/>
  <c r="D27" i="20"/>
  <c r="F27" i="20"/>
  <c r="H27" i="20"/>
  <c r="J27" i="20"/>
  <c r="M27" i="20"/>
  <c r="BB51" i="20" s="1"/>
  <c r="N27" i="20"/>
  <c r="O27" i="20"/>
  <c r="BB52" i="20" s="1"/>
  <c r="P27" i="20"/>
  <c r="Q27" i="20"/>
  <c r="BB53" i="20" s="1"/>
  <c r="R27" i="20"/>
  <c r="R29" i="20" s="1"/>
  <c r="S27" i="20"/>
  <c r="BB54" i="20" s="1"/>
  <c r="T27" i="20"/>
  <c r="T29" i="20" s="1"/>
  <c r="U27" i="20"/>
  <c r="BB55" i="20" s="1"/>
  <c r="V27" i="20"/>
  <c r="V29" i="20" s="1"/>
  <c r="W27" i="20"/>
  <c r="BB56" i="20" s="1"/>
  <c r="X27" i="20"/>
  <c r="X29" i="20" s="1"/>
  <c r="Y27" i="20"/>
  <c r="BB57" i="20" s="1"/>
  <c r="Z27" i="20"/>
  <c r="Z29" i="20" s="1"/>
  <c r="AA27" i="20"/>
  <c r="BB58" i="20" s="1"/>
  <c r="AB27" i="20"/>
  <c r="AB29" i="20" s="1"/>
  <c r="AE27" i="20"/>
  <c r="BB60" i="20" s="1"/>
  <c r="AF27" i="20"/>
  <c r="AF29" i="20" s="1"/>
  <c r="AG27" i="20"/>
  <c r="BB61" i="20" s="1"/>
  <c r="AH27" i="20"/>
  <c r="AH29" i="20" s="1"/>
  <c r="AI27" i="20"/>
  <c r="BB62" i="20" s="1"/>
  <c r="AJ27" i="20"/>
  <c r="AJ29" i="20" s="1"/>
  <c r="AK27" i="20"/>
  <c r="BB63" i="20" s="1"/>
  <c r="AL27" i="20"/>
  <c r="AL29" i="20" s="1"/>
  <c r="AM27" i="20"/>
  <c r="AN27" i="20"/>
  <c r="AN29" i="20" s="1"/>
  <c r="AO27" i="20"/>
  <c r="BB65" i="20" s="1"/>
  <c r="AP27" i="20"/>
  <c r="AP29" i="20" s="1"/>
  <c r="AR27" i="20"/>
  <c r="AR29" i="20" s="1"/>
  <c r="BA46" i="20"/>
  <c r="BA47" i="20"/>
  <c r="BA48" i="20"/>
  <c r="BA49" i="20"/>
  <c r="BA50" i="20"/>
  <c r="BA51" i="20"/>
  <c r="BA52" i="20"/>
  <c r="BA53" i="20"/>
  <c r="BA54" i="20"/>
  <c r="BA55" i="20"/>
  <c r="BB59" i="20"/>
  <c r="G38" i="20"/>
  <c r="O38" i="20" s="1"/>
  <c r="G39" i="20"/>
  <c r="K39" i="20" s="1"/>
  <c r="G40" i="20"/>
  <c r="K40" i="20" s="1"/>
  <c r="G41" i="20"/>
  <c r="K41" i="20" s="1"/>
  <c r="G42" i="20"/>
  <c r="K42" i="20" s="1"/>
  <c r="G43" i="20"/>
  <c r="K43" i="20" s="1"/>
  <c r="G44" i="20"/>
  <c r="K44" i="20" s="1"/>
  <c r="G45" i="20"/>
  <c r="K45" i="20" s="1"/>
  <c r="G46" i="20"/>
  <c r="K46" i="20" s="1"/>
  <c r="G47" i="20"/>
  <c r="K47" i="20" s="1"/>
  <c r="G48" i="20"/>
  <c r="K48" i="20" s="1"/>
  <c r="G49" i="20"/>
  <c r="K49" i="20" s="1"/>
  <c r="C51" i="20"/>
  <c r="D51" i="20"/>
  <c r="E51" i="20"/>
  <c r="F51" i="20"/>
  <c r="I51" i="20"/>
  <c r="J51" i="20"/>
  <c r="F39" i="19"/>
  <c r="H50" i="19"/>
  <c r="H78" i="19" s="1"/>
  <c r="BD25" i="20" s="1"/>
  <c r="F80" i="19"/>
  <c r="F39" i="22"/>
  <c r="E51" i="22"/>
  <c r="G45" i="22" s="1"/>
  <c r="H51" i="22"/>
  <c r="F78" i="22"/>
  <c r="F37" i="7"/>
  <c r="H49" i="7"/>
  <c r="F79" i="7"/>
  <c r="F41" i="8"/>
  <c r="H53" i="8"/>
  <c r="F81" i="8"/>
  <c r="H47" i="9"/>
  <c r="H65" i="9" s="1"/>
  <c r="BD21" i="20" s="1"/>
  <c r="F31" i="10"/>
  <c r="I13" i="21" s="1"/>
  <c r="H42" i="10"/>
  <c r="H63" i="10" s="1"/>
  <c r="BD20" i="20" s="1"/>
  <c r="F65" i="10"/>
  <c r="F15" i="11"/>
  <c r="F16" i="11" s="1"/>
  <c r="F17" i="11" s="1"/>
  <c r="F18" i="11" s="1"/>
  <c r="F19" i="11" s="1"/>
  <c r="F20" i="11" s="1"/>
  <c r="F22" i="11" s="1"/>
  <c r="D22" i="11"/>
  <c r="D29" i="11"/>
  <c r="H29" i="11" s="1"/>
  <c r="F29" i="11"/>
  <c r="J29" i="11" s="1"/>
  <c r="D30" i="11"/>
  <c r="D31" i="11"/>
  <c r="D32" i="11"/>
  <c r="D33" i="11"/>
  <c r="D34" i="11"/>
  <c r="F31" i="12"/>
  <c r="H13" i="21" s="1"/>
  <c r="E42" i="12"/>
  <c r="G38" i="12" s="1"/>
  <c r="H42" i="12"/>
  <c r="F64" i="12"/>
  <c r="F42" i="13"/>
  <c r="E52" i="13"/>
  <c r="G48" i="13" s="1"/>
  <c r="H52" i="13"/>
  <c r="F69" i="13"/>
  <c r="F39" i="14"/>
  <c r="H50" i="14"/>
  <c r="F67" i="14"/>
  <c r="G50" i="15"/>
  <c r="H51" i="15"/>
  <c r="H17" i="11" s="1"/>
  <c r="F67" i="15"/>
  <c r="E57" i="16"/>
  <c r="G56" i="16" s="1"/>
  <c r="H57" i="16"/>
  <c r="H16" i="11" s="1"/>
  <c r="F74" i="16"/>
  <c r="H38" i="20"/>
  <c r="L38" i="20" s="1"/>
  <c r="E55" i="4"/>
  <c r="C31" i="21" s="1"/>
  <c r="H55" i="4"/>
  <c r="F61" i="4"/>
  <c r="H60" i="4" s="1"/>
  <c r="G43" i="15"/>
  <c r="E21" i="21"/>
  <c r="E16" i="21"/>
  <c r="E47" i="21" s="1"/>
  <c r="E27" i="21"/>
  <c r="E8" i="21"/>
  <c r="E37" i="21" s="1"/>
  <c r="AQ27" i="20"/>
  <c r="G53" i="4"/>
  <c r="BB67" i="20"/>
  <c r="E6" i="21"/>
  <c r="E41" i="21" s="1"/>
  <c r="E14" i="21"/>
  <c r="E48" i="21" s="1"/>
  <c r="E23" i="21"/>
  <c r="E46" i="21" s="1"/>
  <c r="E30" i="21"/>
  <c r="E5" i="21"/>
  <c r="E18" i="21"/>
  <c r="E39" i="21" s="1"/>
  <c r="E28" i="21"/>
  <c r="E20" i="21"/>
  <c r="G69" i="4"/>
  <c r="G51" i="4"/>
  <c r="G46" i="15"/>
  <c r="G52" i="4"/>
  <c r="G54" i="4"/>
  <c r="E29" i="21"/>
  <c r="G49" i="15"/>
  <c r="G47" i="15"/>
  <c r="E50" i="14"/>
  <c r="G49" i="14" s="1"/>
  <c r="M16" i="21" l="1"/>
  <c r="M13" i="21"/>
  <c r="L18" i="21"/>
  <c r="L39" i="21" s="1"/>
  <c r="L13" i="21"/>
  <c r="H45" i="20"/>
  <c r="L45" i="20" s="1"/>
  <c r="G41" i="12"/>
  <c r="G37" i="12"/>
  <c r="G40" i="12"/>
  <c r="D16" i="21"/>
  <c r="D47" i="21" s="1"/>
  <c r="D31" i="21"/>
  <c r="L5" i="21"/>
  <c r="H30" i="11"/>
  <c r="H31" i="11" s="1"/>
  <c r="M31" i="21"/>
  <c r="H7" i="21"/>
  <c r="H11" i="21"/>
  <c r="G38" i="10"/>
  <c r="I7" i="21"/>
  <c r="I11" i="21"/>
  <c r="F7" i="21"/>
  <c r="F42" i="21" s="1"/>
  <c r="F11" i="21"/>
  <c r="D7" i="21"/>
  <c r="D11" i="21"/>
  <c r="F56" i="19"/>
  <c r="F57" i="22"/>
  <c r="M11" i="21"/>
  <c r="M7" i="21"/>
  <c r="F55" i="7"/>
  <c r="L7" i="21"/>
  <c r="L11" i="21"/>
  <c r="F59" i="8"/>
  <c r="G47" i="13"/>
  <c r="G7" i="21"/>
  <c r="G11" i="21"/>
  <c r="I17" i="21"/>
  <c r="I25" i="21"/>
  <c r="I10" i="21"/>
  <c r="I22" i="21"/>
  <c r="I26" i="21"/>
  <c r="H44" i="20"/>
  <c r="L44" i="20" s="1"/>
  <c r="G48" i="12"/>
  <c r="H10" i="21"/>
  <c r="H22" i="21"/>
  <c r="H25" i="21"/>
  <c r="H17" i="21"/>
  <c r="H26" i="21"/>
  <c r="H24" i="21"/>
  <c r="G49" i="13"/>
  <c r="F56" i="13"/>
  <c r="G17" i="21"/>
  <c r="G22" i="21"/>
  <c r="G10" i="21"/>
  <c r="G24" i="21"/>
  <c r="G26" i="21"/>
  <c r="G25" i="21"/>
  <c r="F17" i="21"/>
  <c r="F26" i="21"/>
  <c r="F10" i="21"/>
  <c r="F24" i="21"/>
  <c r="F46" i="21" s="1"/>
  <c r="F22" i="21"/>
  <c r="F25" i="21"/>
  <c r="D18" i="21"/>
  <c r="D39" i="21" s="1"/>
  <c r="D9" i="21"/>
  <c r="D22" i="21"/>
  <c r="D25" i="21"/>
  <c r="D17" i="21"/>
  <c r="D24" i="21"/>
  <c r="D14" i="21"/>
  <c r="D48" i="21" s="1"/>
  <c r="D5" i="21"/>
  <c r="D10" i="21"/>
  <c r="D26" i="21"/>
  <c r="D6" i="21"/>
  <c r="D8" i="21"/>
  <c r="D15" i="21"/>
  <c r="D20" i="21"/>
  <c r="D23" i="21"/>
  <c r="D46" i="21" s="1"/>
  <c r="D12" i="21"/>
  <c r="G48" i="16"/>
  <c r="G69" i="7" s="1"/>
  <c r="H49" i="20"/>
  <c r="L49" i="20" s="1"/>
  <c r="M28" i="21"/>
  <c r="M10" i="21"/>
  <c r="M21" i="21"/>
  <c r="M24" i="21"/>
  <c r="M9" i="21"/>
  <c r="M26" i="21"/>
  <c r="M22" i="21"/>
  <c r="M25" i="21"/>
  <c r="M17" i="21"/>
  <c r="M15" i="21"/>
  <c r="L8" i="21"/>
  <c r="L10" i="21"/>
  <c r="L22" i="21"/>
  <c r="L26" i="21"/>
  <c r="L25" i="21"/>
  <c r="L17" i="21"/>
  <c r="L24" i="21"/>
  <c r="L9" i="21"/>
  <c r="L15" i="21"/>
  <c r="G51" i="9"/>
  <c r="G36" i="9"/>
  <c r="G73" i="22" s="1"/>
  <c r="I24" i="21"/>
  <c r="G47" i="10"/>
  <c r="F48" i="10" s="1"/>
  <c r="H46" i="10" s="1"/>
  <c r="I9" i="21"/>
  <c r="I15" i="21"/>
  <c r="H9" i="21"/>
  <c r="H15" i="21"/>
  <c r="G51" i="13"/>
  <c r="G31" i="21"/>
  <c r="G29" i="21"/>
  <c r="G50" i="13"/>
  <c r="G27" i="21"/>
  <c r="G9" i="21"/>
  <c r="G15" i="21"/>
  <c r="G44" i="13"/>
  <c r="G72" i="7" s="1"/>
  <c r="G23" i="21"/>
  <c r="G46" i="21" s="1"/>
  <c r="H42" i="20"/>
  <c r="L42" i="20" s="1"/>
  <c r="F15" i="21"/>
  <c r="F9" i="21"/>
  <c r="C40" i="21"/>
  <c r="C41" i="21"/>
  <c r="H41" i="20"/>
  <c r="L41" i="20" s="1"/>
  <c r="F55" i="14"/>
  <c r="F56" i="14" s="1"/>
  <c r="H54" i="14" s="1"/>
  <c r="F5" i="21"/>
  <c r="F29" i="21"/>
  <c r="G48" i="14"/>
  <c r="G47" i="14"/>
  <c r="F21" i="21"/>
  <c r="F6" i="21"/>
  <c r="F16" i="21"/>
  <c r="F47" i="21" s="1"/>
  <c r="G51" i="15"/>
  <c r="D28" i="21"/>
  <c r="D19" i="21"/>
  <c r="D29" i="21"/>
  <c r="D36" i="21" s="1"/>
  <c r="D21" i="21"/>
  <c r="F63" i="16"/>
  <c r="G54" i="16"/>
  <c r="D30" i="21"/>
  <c r="C45" i="21"/>
  <c r="M27" i="21"/>
  <c r="M19" i="21"/>
  <c r="H48" i="20"/>
  <c r="H76" i="22"/>
  <c r="BD24" i="20" s="1"/>
  <c r="H77" i="19"/>
  <c r="L23" i="21"/>
  <c r="L29" i="21"/>
  <c r="L30" i="21"/>
  <c r="L45" i="21" s="1"/>
  <c r="H47" i="20"/>
  <c r="L20" i="21"/>
  <c r="L44" i="21" s="1"/>
  <c r="H77" i="7"/>
  <c r="BD23" i="20" s="1"/>
  <c r="H76" i="19"/>
  <c r="H75" i="22"/>
  <c r="K30" i="21"/>
  <c r="K45" i="21" s="1"/>
  <c r="H46" i="20"/>
  <c r="H79" i="8"/>
  <c r="BD22" i="20" s="1"/>
  <c r="H75" i="19"/>
  <c r="H74" i="22"/>
  <c r="H76" i="7"/>
  <c r="H73" i="22"/>
  <c r="H75" i="7"/>
  <c r="H78" i="8"/>
  <c r="H74" i="19"/>
  <c r="H73" i="19"/>
  <c r="H72" i="22"/>
  <c r="H77" i="8"/>
  <c r="H64" i="9"/>
  <c r="H74" i="7"/>
  <c r="H71" i="22"/>
  <c r="H73" i="7"/>
  <c r="H76" i="8"/>
  <c r="H72" i="19"/>
  <c r="H63" i="9"/>
  <c r="H62" i="10"/>
  <c r="H62" i="12"/>
  <c r="BD18" i="20" s="1"/>
  <c r="H20" i="11"/>
  <c r="G16" i="21"/>
  <c r="G47" i="21" s="1"/>
  <c r="G18" i="21"/>
  <c r="G39" i="21" s="1"/>
  <c r="G14" i="21"/>
  <c r="G48" i="21" s="1"/>
  <c r="G5" i="21"/>
  <c r="G28" i="21"/>
  <c r="G21" i="21"/>
  <c r="G8" i="21"/>
  <c r="G20" i="21"/>
  <c r="G19" i="21"/>
  <c r="G6" i="21"/>
  <c r="G30" i="21"/>
  <c r="G12" i="21"/>
  <c r="H71" i="19"/>
  <c r="H70" i="22"/>
  <c r="H75" i="8"/>
  <c r="H62" i="9"/>
  <c r="H61" i="12"/>
  <c r="H72" i="7"/>
  <c r="H61" i="10"/>
  <c r="H19" i="11"/>
  <c r="H67" i="13"/>
  <c r="BD17" i="20" s="1"/>
  <c r="F28" i="21"/>
  <c r="F20" i="21"/>
  <c r="F19" i="21"/>
  <c r="G41" i="14"/>
  <c r="F31" i="21"/>
  <c r="F14" i="21"/>
  <c r="F48" i="21" s="1"/>
  <c r="F18" i="21"/>
  <c r="F39" i="21" s="1"/>
  <c r="F23" i="21"/>
  <c r="F12" i="21"/>
  <c r="F8" i="21"/>
  <c r="F27" i="21"/>
  <c r="F30" i="21"/>
  <c r="H71" i="7"/>
  <c r="H74" i="8"/>
  <c r="H70" i="19"/>
  <c r="H61" i="9"/>
  <c r="H60" i="12"/>
  <c r="H69" i="22"/>
  <c r="H66" i="13"/>
  <c r="H60" i="10"/>
  <c r="H65" i="14"/>
  <c r="BD16" i="20" s="1"/>
  <c r="H18" i="11"/>
  <c r="H68" i="22"/>
  <c r="H69" i="19"/>
  <c r="H70" i="7"/>
  <c r="H60" i="9"/>
  <c r="H73" i="8"/>
  <c r="H59" i="10"/>
  <c r="H65" i="13"/>
  <c r="H59" i="12"/>
  <c r="H64" i="14"/>
  <c r="G70" i="7"/>
  <c r="G59" i="10"/>
  <c r="G64" i="14"/>
  <c r="G69" i="19"/>
  <c r="G68" i="22"/>
  <c r="G73" i="8"/>
  <c r="G60" i="9"/>
  <c r="G59" i="12"/>
  <c r="G65" i="13"/>
  <c r="D27" i="21"/>
  <c r="H39" i="20"/>
  <c r="L39" i="20" s="1"/>
  <c r="G68" i="19"/>
  <c r="H72" i="16"/>
  <c r="BD14" i="20" s="1"/>
  <c r="H68" i="19"/>
  <c r="H59" i="9"/>
  <c r="H58" i="10"/>
  <c r="H58" i="12"/>
  <c r="H64" i="15"/>
  <c r="H67" i="22"/>
  <c r="H69" i="7"/>
  <c r="H72" i="8"/>
  <c r="H64" i="13"/>
  <c r="H63" i="14"/>
  <c r="C27" i="20"/>
  <c r="BB46" i="20" s="1"/>
  <c r="G19" i="20"/>
  <c r="BB68" i="20"/>
  <c r="H67" i="19"/>
  <c r="H66" i="22"/>
  <c r="H71" i="8"/>
  <c r="H58" i="9"/>
  <c r="H71" i="16"/>
  <c r="H57" i="10"/>
  <c r="H57" i="12"/>
  <c r="H63" i="13"/>
  <c r="H68" i="7"/>
  <c r="H63" i="15"/>
  <c r="H62" i="14"/>
  <c r="M6" i="21"/>
  <c r="M42" i="21" s="1"/>
  <c r="M5" i="21"/>
  <c r="M29" i="21"/>
  <c r="M36" i="21" s="1"/>
  <c r="M8" i="21"/>
  <c r="M20" i="21"/>
  <c r="M44" i="21" s="1"/>
  <c r="M23" i="21"/>
  <c r="M18" i="21"/>
  <c r="M39" i="21" s="1"/>
  <c r="G41" i="22"/>
  <c r="M14" i="21"/>
  <c r="M48" i="21" s="1"/>
  <c r="L12" i="21"/>
  <c r="L43" i="21" s="1"/>
  <c r="G39" i="7"/>
  <c r="L27" i="21"/>
  <c r="L14" i="21"/>
  <c r="L48" i="21" s="1"/>
  <c r="L16" i="21"/>
  <c r="L6" i="21"/>
  <c r="L42" i="21" s="1"/>
  <c r="E49" i="7"/>
  <c r="G45" i="7" s="1"/>
  <c r="G51" i="8"/>
  <c r="G52" i="8"/>
  <c r="G33" i="10"/>
  <c r="I6" i="21"/>
  <c r="G41" i="10"/>
  <c r="G40" i="10"/>
  <c r="I23" i="21"/>
  <c r="I18" i="21"/>
  <c r="I39" i="21" s="1"/>
  <c r="I16" i="21"/>
  <c r="I20" i="21"/>
  <c r="I8" i="21"/>
  <c r="G37" i="10"/>
  <c r="I14" i="21"/>
  <c r="I48" i="21" s="1"/>
  <c r="I21" i="21"/>
  <c r="I28" i="21"/>
  <c r="G39" i="10"/>
  <c r="I27" i="21"/>
  <c r="I5" i="21"/>
  <c r="I19" i="21"/>
  <c r="I29" i="21"/>
  <c r="I12" i="21"/>
  <c r="H28" i="21"/>
  <c r="H14" i="21"/>
  <c r="H48" i="21" s="1"/>
  <c r="G39" i="12"/>
  <c r="G42" i="12" s="1"/>
  <c r="H8" i="21"/>
  <c r="H16" i="21"/>
  <c r="H47" i="21" s="1"/>
  <c r="H5" i="21"/>
  <c r="H19" i="21"/>
  <c r="F49" i="12"/>
  <c r="H48" i="12" s="1"/>
  <c r="F34" i="11"/>
  <c r="H43" i="20"/>
  <c r="L43" i="20" s="1"/>
  <c r="H6" i="21"/>
  <c r="H12" i="21"/>
  <c r="H21" i="21"/>
  <c r="G33" i="12"/>
  <c r="H29" i="21"/>
  <c r="H27" i="21"/>
  <c r="H18" i="21"/>
  <c r="H39" i="21" s="1"/>
  <c r="H23" i="21"/>
  <c r="H46" i="21" s="1"/>
  <c r="H20" i="21"/>
  <c r="H65" i="15"/>
  <c r="BD15" i="20" s="1"/>
  <c r="G65" i="15"/>
  <c r="G45" i="14"/>
  <c r="G46" i="14"/>
  <c r="H32" i="11"/>
  <c r="H33" i="11" s="1"/>
  <c r="H34" i="11" s="1"/>
  <c r="H36" i="11" s="1"/>
  <c r="C22" i="11"/>
  <c r="L40" i="20"/>
  <c r="F31" i="11"/>
  <c r="F56" i="15"/>
  <c r="H54" i="15" s="1"/>
  <c r="E31" i="21"/>
  <c r="E45" i="21" s="1"/>
  <c r="E19" i="21"/>
  <c r="G17" i="11"/>
  <c r="H59" i="4"/>
  <c r="H61" i="4" s="1"/>
  <c r="H67" i="4"/>
  <c r="E64" i="12"/>
  <c r="E69" i="13"/>
  <c r="E16" i="11"/>
  <c r="E17" i="11" s="1"/>
  <c r="E18" i="11" s="1"/>
  <c r="E19" i="11" s="1"/>
  <c r="E20" i="11" s="1"/>
  <c r="E22" i="11" s="1"/>
  <c r="G55" i="16"/>
  <c r="G52" i="16"/>
  <c r="G53" i="16"/>
  <c r="G55" i="4"/>
  <c r="H15" i="11"/>
  <c r="J15" i="11" s="1"/>
  <c r="J16" i="11" s="1"/>
  <c r="J17" i="11" s="1"/>
  <c r="G15" i="11"/>
  <c r="C19" i="20"/>
  <c r="BB66" i="20"/>
  <c r="I19" i="20"/>
  <c r="E27" i="20"/>
  <c r="BB47" i="20" s="1"/>
  <c r="I27" i="20"/>
  <c r="BB49" i="20" s="1"/>
  <c r="O39" i="20"/>
  <c r="O40" i="20" s="1"/>
  <c r="O41" i="20" s="1"/>
  <c r="O42" i="20" s="1"/>
  <c r="O43" i="20" s="1"/>
  <c r="O44" i="20" s="1"/>
  <c r="O45" i="20" s="1"/>
  <c r="O46" i="20" s="1"/>
  <c r="O47" i="20" s="1"/>
  <c r="O48" i="20" s="1"/>
  <c r="O49" i="20" s="1"/>
  <c r="O51" i="20" s="1"/>
  <c r="P38" i="20"/>
  <c r="BB64" i="20"/>
  <c r="G27" i="20"/>
  <c r="BB48" i="20" s="1"/>
  <c r="E19" i="20"/>
  <c r="G51" i="20"/>
  <c r="K51" i="20" s="1"/>
  <c r="K38" i="20"/>
  <c r="E50" i="19"/>
  <c r="N22" i="21" s="1"/>
  <c r="F58" i="19"/>
  <c r="H55" i="19" s="1"/>
  <c r="G41" i="19"/>
  <c r="G78" i="19" s="1"/>
  <c r="G47" i="22"/>
  <c r="G48" i="22"/>
  <c r="G46" i="22"/>
  <c r="M30" i="21"/>
  <c r="G50" i="22"/>
  <c r="G49" i="22"/>
  <c r="M12" i="21"/>
  <c r="M43" i="21" s="1"/>
  <c r="L28" i="21"/>
  <c r="G47" i="7"/>
  <c r="L21" i="21"/>
  <c r="L19" i="21"/>
  <c r="G48" i="8"/>
  <c r="G49" i="8"/>
  <c r="G43" i="8"/>
  <c r="F60" i="8"/>
  <c r="H59" i="8" s="1"/>
  <c r="E47" i="9"/>
  <c r="J7" i="21" s="1"/>
  <c r="F52" i="9"/>
  <c r="H51" i="9" s="1"/>
  <c r="E38" i="21"/>
  <c r="C32" i="21"/>
  <c r="D36" i="11"/>
  <c r="N31" i="21" l="1"/>
  <c r="N13" i="21"/>
  <c r="M47" i="21"/>
  <c r="K13" i="21"/>
  <c r="J13" i="21"/>
  <c r="D45" i="21"/>
  <c r="F37" i="21"/>
  <c r="M45" i="21"/>
  <c r="H37" i="21"/>
  <c r="L37" i="21"/>
  <c r="D37" i="21"/>
  <c r="I37" i="21"/>
  <c r="M37" i="21"/>
  <c r="G37" i="21"/>
  <c r="G65" i="9"/>
  <c r="BC15" i="20"/>
  <c r="BE15" i="20" s="1"/>
  <c r="F69" i="4"/>
  <c r="BD13" i="20"/>
  <c r="BD19" i="20" s="1"/>
  <c r="BC25" i="20"/>
  <c r="BE25" i="20" s="1"/>
  <c r="BC21" i="20"/>
  <c r="BE21" i="20" s="1"/>
  <c r="G48" i="7"/>
  <c r="G49" i="19"/>
  <c r="N11" i="21"/>
  <c r="N7" i="21"/>
  <c r="K7" i="21"/>
  <c r="K42" i="21" s="1"/>
  <c r="M46" i="21"/>
  <c r="K11" i="21"/>
  <c r="L46" i="21"/>
  <c r="J11" i="21"/>
  <c r="G78" i="8"/>
  <c r="G61" i="10"/>
  <c r="G71" i="19"/>
  <c r="G52" i="13"/>
  <c r="F32" i="21"/>
  <c r="I47" i="21"/>
  <c r="F32" i="11"/>
  <c r="G16" i="11"/>
  <c r="G72" i="8"/>
  <c r="G58" i="12"/>
  <c r="G64" i="13"/>
  <c r="G67" i="22"/>
  <c r="G58" i="10"/>
  <c r="G59" i="9"/>
  <c r="G46" i="7"/>
  <c r="BB27" i="20"/>
  <c r="BB29" i="20" s="1"/>
  <c r="D40" i="21"/>
  <c r="D41" i="21"/>
  <c r="G72" i="16"/>
  <c r="BC14" i="20" s="1"/>
  <c r="BE14" i="20" s="1"/>
  <c r="G64" i="15"/>
  <c r="G67" i="15" s="1"/>
  <c r="G63" i="14"/>
  <c r="G46" i="19"/>
  <c r="G45" i="19"/>
  <c r="N10" i="21"/>
  <c r="N26" i="21"/>
  <c r="N25" i="21"/>
  <c r="N17" i="21"/>
  <c r="N24" i="21"/>
  <c r="N9" i="21"/>
  <c r="N15" i="21"/>
  <c r="M38" i="21"/>
  <c r="L47" i="21"/>
  <c r="G53" i="8"/>
  <c r="K10" i="21"/>
  <c r="K15" i="21"/>
  <c r="K24" i="21"/>
  <c r="K9" i="21"/>
  <c r="K17" i="21"/>
  <c r="K25" i="21"/>
  <c r="K26" i="21"/>
  <c r="K22" i="21"/>
  <c r="J10" i="21"/>
  <c r="G45" i="9"/>
  <c r="G42" i="9"/>
  <c r="G44" i="9"/>
  <c r="J22" i="21"/>
  <c r="G75" i="7"/>
  <c r="I46" i="21"/>
  <c r="J17" i="21"/>
  <c r="J21" i="21"/>
  <c r="J15" i="21"/>
  <c r="J24" i="21"/>
  <c r="J25" i="21"/>
  <c r="J9" i="21"/>
  <c r="J26" i="21"/>
  <c r="G74" i="19"/>
  <c r="G45" i="21"/>
  <c r="G19" i="11"/>
  <c r="G67" i="13"/>
  <c r="G75" i="8"/>
  <c r="G70" i="22"/>
  <c r="G62" i="9"/>
  <c r="G61" i="12"/>
  <c r="G50" i="14"/>
  <c r="J18" i="11"/>
  <c r="J19" i="11" s="1"/>
  <c r="J20" i="11" s="1"/>
  <c r="J22" i="11" s="1"/>
  <c r="E40" i="21"/>
  <c r="E49" i="21" s="1"/>
  <c r="L40" i="21"/>
  <c r="I40" i="21"/>
  <c r="G40" i="21"/>
  <c r="F40" i="21"/>
  <c r="M40" i="21"/>
  <c r="H40" i="21"/>
  <c r="C49" i="21"/>
  <c r="H41" i="21"/>
  <c r="F41" i="21"/>
  <c r="G41" i="21"/>
  <c r="I41" i="21"/>
  <c r="F38" i="21"/>
  <c r="D38" i="21"/>
  <c r="F64" i="16"/>
  <c r="F30" i="11"/>
  <c r="J30" i="11" s="1"/>
  <c r="J31" i="11" s="1"/>
  <c r="P39" i="20"/>
  <c r="P40" i="20" s="1"/>
  <c r="P41" i="20" s="1"/>
  <c r="P42" i="20" s="1"/>
  <c r="P43" i="20" s="1"/>
  <c r="P44" i="20" s="1"/>
  <c r="P45" i="20" s="1"/>
  <c r="P46" i="20" s="1"/>
  <c r="F45" i="21"/>
  <c r="D32" i="21"/>
  <c r="H81" i="8"/>
  <c r="G76" i="22"/>
  <c r="G77" i="19"/>
  <c r="G76" i="19"/>
  <c r="G75" i="22"/>
  <c r="G75" i="19"/>
  <c r="G76" i="7"/>
  <c r="G74" i="22"/>
  <c r="G73" i="19"/>
  <c r="G74" i="7"/>
  <c r="G64" i="9"/>
  <c r="G77" i="8"/>
  <c r="G72" i="22"/>
  <c r="G32" i="21"/>
  <c r="G38" i="21"/>
  <c r="G76" i="8"/>
  <c r="G72" i="19"/>
  <c r="G73" i="7"/>
  <c r="G63" i="9"/>
  <c r="G62" i="10"/>
  <c r="G71" i="22"/>
  <c r="H64" i="12"/>
  <c r="G36" i="21"/>
  <c r="H69" i="13"/>
  <c r="G69" i="22"/>
  <c r="G60" i="12"/>
  <c r="G74" i="8"/>
  <c r="G60" i="10"/>
  <c r="G66" i="13"/>
  <c r="G70" i="19"/>
  <c r="G71" i="7"/>
  <c r="G61" i="9"/>
  <c r="G65" i="14"/>
  <c r="G18" i="11"/>
  <c r="H67" i="9"/>
  <c r="N16" i="21"/>
  <c r="G48" i="19"/>
  <c r="N30" i="21"/>
  <c r="N21" i="21"/>
  <c r="N18" i="21"/>
  <c r="N39" i="21" s="1"/>
  <c r="N23" i="21"/>
  <c r="N20" i="21"/>
  <c r="N44" i="21" s="1"/>
  <c r="N28" i="21"/>
  <c r="N6" i="21"/>
  <c r="N42" i="21" s="1"/>
  <c r="N19" i="21"/>
  <c r="N8" i="21"/>
  <c r="G47" i="19"/>
  <c r="N12" i="21"/>
  <c r="N43" i="21" s="1"/>
  <c r="N29" i="21"/>
  <c r="H78" i="22"/>
  <c r="G77" i="7"/>
  <c r="H79" i="7"/>
  <c r="G44" i="7"/>
  <c r="G49" i="7" s="1"/>
  <c r="H58" i="8"/>
  <c r="H60" i="8" s="1"/>
  <c r="I38" i="21"/>
  <c r="H38" i="21"/>
  <c r="G42" i="10"/>
  <c r="I30" i="21"/>
  <c r="G63" i="10"/>
  <c r="BC20" i="20" s="1"/>
  <c r="BE20" i="20" s="1"/>
  <c r="H47" i="10"/>
  <c r="H48" i="10" s="1"/>
  <c r="G20" i="11"/>
  <c r="G62" i="12"/>
  <c r="H30" i="21"/>
  <c r="H47" i="12"/>
  <c r="H49" i="12" s="1"/>
  <c r="H80" i="19"/>
  <c r="H65" i="10"/>
  <c r="F33" i="11"/>
  <c r="F57" i="13"/>
  <c r="H55" i="13" s="1"/>
  <c r="O31" i="21"/>
  <c r="E65" i="10"/>
  <c r="E32" i="21"/>
  <c r="H55" i="14"/>
  <c r="H56" i="14" s="1"/>
  <c r="H55" i="15"/>
  <c r="H56" i="15" s="1"/>
  <c r="H69" i="4"/>
  <c r="G57" i="16"/>
  <c r="H22" i="11"/>
  <c r="I15" i="11"/>
  <c r="I16" i="11" s="1"/>
  <c r="I17" i="11" s="1"/>
  <c r="N27" i="21"/>
  <c r="H56" i="19"/>
  <c r="H58" i="19" s="1"/>
  <c r="M32" i="21"/>
  <c r="G51" i="22"/>
  <c r="F59" i="22"/>
  <c r="L48" i="20"/>
  <c r="L38" i="21"/>
  <c r="L47" i="20"/>
  <c r="F57" i="7"/>
  <c r="H54" i="7" s="1"/>
  <c r="L32" i="21"/>
  <c r="G79" i="8"/>
  <c r="L46" i="20"/>
  <c r="J29" i="21"/>
  <c r="G46" i="9"/>
  <c r="J23" i="21"/>
  <c r="J12" i="21"/>
  <c r="J43" i="21" s="1"/>
  <c r="G41" i="9"/>
  <c r="G40" i="9"/>
  <c r="G43" i="9"/>
  <c r="J6" i="21"/>
  <c r="J42" i="21" s="1"/>
  <c r="G39" i="9"/>
  <c r="J18" i="21"/>
  <c r="J27" i="21"/>
  <c r="J20" i="21"/>
  <c r="J44" i="21" s="1"/>
  <c r="J28" i="21"/>
  <c r="J5" i="21"/>
  <c r="J16" i="21"/>
  <c r="J19" i="21"/>
  <c r="J8" i="21"/>
  <c r="J14" i="21"/>
  <c r="J48" i="21" s="1"/>
  <c r="H50" i="9"/>
  <c r="H52" i="9" s="1"/>
  <c r="O13" i="21" l="1"/>
  <c r="N37" i="21"/>
  <c r="J37" i="21"/>
  <c r="BD27" i="20"/>
  <c r="BD29" i="20" s="1"/>
  <c r="BC18" i="20"/>
  <c r="BC17" i="20"/>
  <c r="BC16" i="20"/>
  <c r="J32" i="11"/>
  <c r="J33" i="11" s="1"/>
  <c r="J34" i="11" s="1"/>
  <c r="J36" i="11" s="1"/>
  <c r="BC24" i="20"/>
  <c r="BE24" i="20" s="1"/>
  <c r="BC23" i="20"/>
  <c r="BE23" i="20" s="1"/>
  <c r="BC22" i="20"/>
  <c r="BE22" i="20" s="1"/>
  <c r="H55" i="7"/>
  <c r="H57" i="7" s="1"/>
  <c r="F36" i="11"/>
  <c r="G50" i="19"/>
  <c r="O7" i="21"/>
  <c r="O11" i="21"/>
  <c r="J46" i="21"/>
  <c r="N46" i="21"/>
  <c r="F49" i="21"/>
  <c r="G69" i="13"/>
  <c r="N47" i="21"/>
  <c r="O42" i="21"/>
  <c r="O10" i="21"/>
  <c r="O26" i="21"/>
  <c r="O24" i="21"/>
  <c r="O25" i="21"/>
  <c r="O17" i="21"/>
  <c r="O9" i="21"/>
  <c r="O22" i="21"/>
  <c r="J47" i="21"/>
  <c r="G67" i="9"/>
  <c r="J40" i="21"/>
  <c r="N40" i="21"/>
  <c r="I18" i="11"/>
  <c r="I19" i="11" s="1"/>
  <c r="I20" i="11" s="1"/>
  <c r="I22" i="11" s="1"/>
  <c r="M49" i="21"/>
  <c r="G22" i="11"/>
  <c r="G67" i="14"/>
  <c r="D49" i="21"/>
  <c r="H62" i="16"/>
  <c r="H63" i="16"/>
  <c r="N38" i="21"/>
  <c r="L49" i="21"/>
  <c r="H32" i="21"/>
  <c r="H45" i="21"/>
  <c r="H49" i="21" s="1"/>
  <c r="I32" i="21"/>
  <c r="I45" i="21"/>
  <c r="I49" i="21" s="1"/>
  <c r="N45" i="21"/>
  <c r="G49" i="21"/>
  <c r="O36" i="21"/>
  <c r="O6" i="21"/>
  <c r="G79" i="7"/>
  <c r="G78" i="22"/>
  <c r="G65" i="10"/>
  <c r="J30" i="21"/>
  <c r="G80" i="19"/>
  <c r="G64" i="12"/>
  <c r="H67" i="15"/>
  <c r="H67" i="14"/>
  <c r="H56" i="13"/>
  <c r="H57" i="13" s="1"/>
  <c r="H51" i="20"/>
  <c r="L51" i="20" s="1"/>
  <c r="N32" i="21"/>
  <c r="H56" i="22"/>
  <c r="H57" i="22"/>
  <c r="P47" i="20"/>
  <c r="P48" i="20" s="1"/>
  <c r="P49" i="20" s="1"/>
  <c r="P51" i="20" s="1"/>
  <c r="G81" i="8"/>
  <c r="J38" i="21"/>
  <c r="G47" i="9"/>
  <c r="BC19" i="20" l="1"/>
  <c r="BC27" i="20"/>
  <c r="BE27" i="20" s="1"/>
  <c r="BA27" i="20"/>
  <c r="H64" i="16"/>
  <c r="N49" i="21"/>
  <c r="O30" i="21"/>
  <c r="J45" i="21"/>
  <c r="O45" i="21" s="1"/>
  <c r="E67" i="9"/>
  <c r="J32" i="21"/>
  <c r="K12" i="21"/>
  <c r="K43" i="21" s="1"/>
  <c r="O43" i="21" s="1"/>
  <c r="K21" i="21"/>
  <c r="O21" i="21" s="1"/>
  <c r="K19" i="21"/>
  <c r="K27" i="21"/>
  <c r="O27" i="21" s="1"/>
  <c r="K14" i="21"/>
  <c r="K8" i="21"/>
  <c r="K37" i="21" s="1"/>
  <c r="K16" i="21"/>
  <c r="K47" i="21" s="1"/>
  <c r="K5" i="21"/>
  <c r="O15" i="21"/>
  <c r="H59" i="22"/>
  <c r="O14" i="21" l="1"/>
  <c r="K48" i="21"/>
  <c r="O48" i="21" s="1"/>
  <c r="BB72" i="20"/>
  <c r="J53" i="20"/>
  <c r="BB71" i="20"/>
  <c r="O16" i="21"/>
  <c r="O47" i="21"/>
  <c r="K40" i="21"/>
  <c r="O40" i="21" s="1"/>
  <c r="O12" i="21"/>
  <c r="O41" i="21"/>
  <c r="J49" i="21"/>
  <c r="K23" i="21"/>
  <c r="K46" i="21" s="1"/>
  <c r="K28" i="21"/>
  <c r="K38" i="21" s="1"/>
  <c r="O38" i="21" s="1"/>
  <c r="K29" i="21"/>
  <c r="O29" i="21" s="1"/>
  <c r="K20" i="21"/>
  <c r="K18" i="21"/>
  <c r="O19" i="21"/>
  <c r="E79" i="7"/>
  <c r="O8" i="21"/>
  <c r="O5" i="21"/>
  <c r="O20" i="21" l="1"/>
  <c r="K44" i="21"/>
  <c r="O44" i="21" s="1"/>
  <c r="O23" i="21"/>
  <c r="O46" i="21"/>
  <c r="O28" i="21"/>
  <c r="K32" i="21"/>
  <c r="O18" i="21"/>
  <c r="K39" i="21"/>
  <c r="O39" i="21" s="1"/>
  <c r="E78" i="22"/>
  <c r="E80" i="19"/>
  <c r="O37" i="21"/>
  <c r="H74" i="16"/>
  <c r="G74" i="16"/>
  <c r="AZ29" i="20"/>
  <c r="O32" i="21" l="1"/>
  <c r="K49" i="21"/>
  <c r="O49" i="21"/>
  <c r="BB70" i="20"/>
</calcChain>
</file>

<file path=xl/sharedStrings.xml><?xml version="1.0" encoding="utf-8"?>
<sst xmlns="http://schemas.openxmlformats.org/spreadsheetml/2006/main" count="676" uniqueCount="129">
  <si>
    <t>TEMPORADA</t>
  </si>
  <si>
    <t xml:space="preserve"> </t>
  </si>
  <si>
    <t xml:space="preserve">DATOS ESTADÍSTICOS SECTOR PESQUERO AL </t>
  </si>
  <si>
    <t>31/01/</t>
  </si>
  <si>
    <t>DJ</t>
  </si>
  <si>
    <t>FECHA</t>
  </si>
  <si>
    <t>BUQUE</t>
  </si>
  <si>
    <t>DESCARGA /KGS.</t>
  </si>
  <si>
    <t>MOVIMIENTO</t>
  </si>
  <si>
    <t>VIERNES SANTO</t>
  </si>
  <si>
    <t>DESCARGA A PLANTA PROCESADORA</t>
  </si>
  <si>
    <t>FRANCA</t>
  </si>
  <si>
    <t>DON AGUSTIN</t>
  </si>
  <si>
    <t>HUAFENG 815</t>
  </si>
  <si>
    <t>TOTAL TONELADAS</t>
  </si>
  <si>
    <t>EMPRESA</t>
  </si>
  <si>
    <t>DESCARGA/KGS.</t>
  </si>
  <si>
    <t>%</t>
  </si>
  <si>
    <t>B/P</t>
  </si>
  <si>
    <t>SAN SALVADOR S.R.L.</t>
  </si>
  <si>
    <t>LOS IMPORTADOS S.R.L.</t>
  </si>
  <si>
    <t>TOTALES</t>
  </si>
  <si>
    <t>A Camión Térmico/Uruguay</t>
  </si>
  <si>
    <t>A Planta Procesadora</t>
  </si>
  <si>
    <t>COMPARATIVO AÑO ANTERIOR</t>
  </si>
  <si>
    <t>AÑO</t>
  </si>
  <si>
    <t>ANTERIOR</t>
  </si>
  <si>
    <t>ACTUAL</t>
  </si>
  <si>
    <t>MES</t>
  </si>
  <si>
    <t>Toneladas</t>
  </si>
  <si>
    <t>Buques</t>
  </si>
  <si>
    <t>Enero</t>
  </si>
  <si>
    <t>29/02/</t>
  </si>
  <si>
    <t>Febrero</t>
  </si>
  <si>
    <t>31/03/</t>
  </si>
  <si>
    <t>Marzo</t>
  </si>
  <si>
    <t>30/04/</t>
  </si>
  <si>
    <t>Abril</t>
  </si>
  <si>
    <t>31/05/</t>
  </si>
  <si>
    <t>Mayo</t>
  </si>
  <si>
    <t>30/06/</t>
  </si>
  <si>
    <t>Junio</t>
  </si>
  <si>
    <t>ACUMULATIVO</t>
  </si>
  <si>
    <t>TOTAL</t>
  </si>
  <si>
    <t>Camión Térmico/Uruguay</t>
  </si>
  <si>
    <t>Planta Procesadora</t>
  </si>
  <si>
    <t>31/07/</t>
  </si>
  <si>
    <t>Julio</t>
  </si>
  <si>
    <t>31/08/</t>
  </si>
  <si>
    <t>Agosto</t>
  </si>
  <si>
    <t>30/09/</t>
  </si>
  <si>
    <t>Septiembre</t>
  </si>
  <si>
    <t>31/10/</t>
  </si>
  <si>
    <t>CANAL DE BEAGLE</t>
  </si>
  <si>
    <t>CANAL DE BEAGLE S.R.L.</t>
  </si>
  <si>
    <t>Octubre</t>
  </si>
  <si>
    <t xml:space="preserve">DATOS ESTADíSTICOS SECTOR PESQUERO AL </t>
  </si>
  <si>
    <t>30/11/</t>
  </si>
  <si>
    <t>Noviembre</t>
  </si>
  <si>
    <t>31/12/</t>
  </si>
  <si>
    <t>Diciembre</t>
  </si>
  <si>
    <t>% Variación Tn. 2023/2024</t>
  </si>
  <si>
    <t>Total Semestre</t>
  </si>
  <si>
    <t>Total Anual</t>
  </si>
  <si>
    <t>Total Buques</t>
  </si>
  <si>
    <t>Datos Estadísticos por Movimiento - 2024</t>
  </si>
  <si>
    <t>TONS</t>
  </si>
  <si>
    <t>MOVIMIENTO 2023 / KGS.</t>
  </si>
  <si>
    <t>MOVIMIENTO 2024/ KGS.</t>
  </si>
  <si>
    <t>% VARIACIÓN  KGS.    2023/2024</t>
  </si>
  <si>
    <t>ACUM MOV 2024/ KGS.</t>
  </si>
  <si>
    <t>Uruguay</t>
  </si>
  <si>
    <t>Calamar Planta Procesadora</t>
  </si>
  <si>
    <t>Trasbordo a mercante</t>
  </si>
  <si>
    <t>TOTAL MOVIMIENTO (KGS.)</t>
  </si>
  <si>
    <t>DESCARGA EXPRESADA EN KGS.  2024</t>
  </si>
  <si>
    <t xml:space="preserve">BUQUE 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</si>
  <si>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</si>
  <si>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</si>
  <si>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</si>
  <si>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</si>
  <si>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</si>
  <si>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</si>
  <si>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</si>
  <si>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</si>
  <si>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</si>
  <si>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</si>
  <si>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</si>
  <si>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</si>
  <si>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Gloriosus</t>
  </si>
  <si>
    <t>Huafeng 820</t>
  </si>
  <si>
    <t>Marina Z</t>
  </si>
  <si>
    <t>Don Agustin</t>
  </si>
  <si>
    <t>Don Juan</t>
  </si>
  <si>
    <t>El Santo</t>
  </si>
  <si>
    <t>Franca</t>
  </si>
  <si>
    <t>Huafeng 821</t>
  </si>
  <si>
    <t>Magdalena María II</t>
  </si>
  <si>
    <t>Canal de Beagle</t>
  </si>
  <si>
    <t>Norman</t>
  </si>
  <si>
    <t>Maria Rita</t>
  </si>
  <si>
    <t>Araucania</t>
  </si>
  <si>
    <t>Columbus</t>
  </si>
  <si>
    <t>Viernes Santo</t>
  </si>
  <si>
    <t>Floridablanca</t>
  </si>
  <si>
    <t>Arvi</t>
  </si>
  <si>
    <t>Huafeng 815</t>
  </si>
  <si>
    <t>Huafeng 817</t>
  </si>
  <si>
    <t>Huafeng 818</t>
  </si>
  <si>
    <t>Huafeng 827</t>
  </si>
  <si>
    <t>Huafeng 828</t>
  </si>
  <si>
    <t>Marta S</t>
  </si>
  <si>
    <t>Sumatra</t>
  </si>
  <si>
    <t>Petrel</t>
  </si>
  <si>
    <t>Coraje</t>
  </si>
  <si>
    <t>Golfo San Matias</t>
  </si>
  <si>
    <t>R. Calvo e Hijos S.A.</t>
  </si>
  <si>
    <t>San Salvador S.R.L.</t>
  </si>
  <si>
    <t>Hemdora S.A.</t>
  </si>
  <si>
    <t>Argenwolf S.A.</t>
  </si>
  <si>
    <t>Los Importados S.R.L.</t>
  </si>
  <si>
    <t>Melimar S,A.</t>
  </si>
  <si>
    <t>La Escalerona S.A.</t>
  </si>
  <si>
    <t>Esamar S.A.</t>
  </si>
  <si>
    <t>Red Chamber Arg. S.A.</t>
  </si>
  <si>
    <t>Iberconsa de Arg S.A.</t>
  </si>
  <si>
    <t>Chiarmar</t>
  </si>
  <si>
    <t>Luez S.R.L.</t>
  </si>
  <si>
    <t>Canal de Beagle S.R.L.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</si>
</sst>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6">
    <font>
      <sz val="10"/>
      <name val="Arial"/>
    </font>
    <font>
      <b/>
      <sz val="9"/>
      <name val="Verdana"/>
      <family val="2"/>
    </font>
    <font>
      <b/>
      <sz val="10"/>
      <name val="Arial"/>
      <family val="2"/>
    </font>
    <font>
      <sz val="9"/>
      <name val="Verdana"/>
      <family val="2"/>
    </font>
    <font>
      <b/>
      <sz val="9"/>
      <color indexed="14"/>
      <name val="Verdana"/>
      <family val="2"/>
    </font>
    <font>
      <b/>
      <sz val="9"/>
      <color indexed="40"/>
      <name val="Verdana"/>
      <family val="2"/>
    </font>
    <font>
      <sz val="9"/>
      <color indexed="40"/>
      <name val="Verdana"/>
      <family val="2"/>
    </font>
    <font>
      <b/>
      <sz val="9"/>
      <color indexed="52"/>
      <name val="Verdana"/>
      <family val="2"/>
    </font>
    <font>
      <sz val="9"/>
      <color indexed="18"/>
      <name val="Verdana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i/>
      <sz val="12"/>
      <name val="Verdan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onsolas"/>
      <family val="3"/>
    </font>
    <font>
      <b/>
      <sz val="11"/>
      <color rgb="FF000080"/>
      <name val="Consolas"/>
      <family val="3"/>
    </font>
    <font>
      <b/>
      <sz val="12"/>
      <color rgb="FF000080"/>
      <name val="Calibri"/>
      <family val="2"/>
      <scheme val="minor"/>
    </font>
    <font>
      <b/>
      <sz val="10"/>
      <name val="Consolas"/>
      <family val="3"/>
    </font>
    <font>
      <sz val="9"/>
      <name val="Consolas"/>
      <family val="3"/>
    </font>
    <font>
      <b/>
      <sz val="9"/>
      <color indexed="62"/>
      <name val="Consolas"/>
      <family val="3"/>
    </font>
    <font>
      <sz val="10"/>
      <name val="Consolas"/>
      <family val="3"/>
    </font>
    <font>
      <b/>
      <sz val="9"/>
      <color indexed="40"/>
      <name val="Consolas"/>
      <family val="3"/>
    </font>
    <font>
      <sz val="9"/>
      <color indexed="62"/>
      <name val="Consolas"/>
      <family val="3"/>
    </font>
    <font>
      <sz val="9"/>
      <color indexed="40"/>
      <name val="Consolas"/>
      <family val="3"/>
    </font>
    <font>
      <sz val="9"/>
      <color indexed="12"/>
      <name val="Consolas"/>
      <family val="3"/>
    </font>
    <font>
      <sz val="8"/>
      <color indexed="12"/>
      <name val="Consolas"/>
      <family val="3"/>
    </font>
    <font>
      <sz val="8"/>
      <name val="Consolas"/>
      <family val="3"/>
    </font>
    <font>
      <b/>
      <sz val="12"/>
      <color rgb="FF000080"/>
      <name val="Consolas"/>
      <family val="3"/>
    </font>
    <font>
      <b/>
      <sz val="9"/>
      <name val="Consolas"/>
      <family val="3"/>
    </font>
    <font>
      <sz val="9"/>
      <color indexed="10"/>
      <name val="Consolas"/>
      <family val="3"/>
    </font>
    <font>
      <b/>
      <sz val="9"/>
      <color indexed="18"/>
      <name val="Consolas"/>
      <family val="3"/>
    </font>
    <font>
      <sz val="9"/>
      <color indexed="18"/>
      <name val="Consolas"/>
      <family val="3"/>
    </font>
    <font>
      <sz val="8"/>
      <color indexed="18"/>
      <name val="Consolas"/>
      <family val="3"/>
    </font>
    <font>
      <b/>
      <sz val="8"/>
      <name val="Consolas"/>
      <family val="3"/>
    </font>
    <font>
      <b/>
      <sz val="12"/>
      <color indexed="62"/>
      <name val="Consolas"/>
      <family val="3"/>
    </font>
    <font>
      <sz val="10"/>
      <color indexed="18"/>
      <name val="Consolas"/>
      <family val="3"/>
    </font>
    <font>
      <b/>
      <sz val="16"/>
      <color rgb="FF002060"/>
      <name val="Consolas"/>
      <family val="3"/>
    </font>
    <font>
      <b/>
      <sz val="16"/>
      <color indexed="62"/>
      <name val="Consolas"/>
      <family val="3"/>
    </font>
    <font>
      <b/>
      <sz val="10"/>
      <color theme="3" tint="-0.499984740745262"/>
      <name val="Consolas"/>
      <family val="3"/>
    </font>
    <font>
      <sz val="8"/>
      <color theme="3" tint="-0.499984740745262"/>
      <name val="Consolas"/>
      <family val="3"/>
    </font>
    <font>
      <sz val="10"/>
      <color theme="3" tint="-0.499984740745262"/>
      <name val="Consolas"/>
      <family val="3"/>
    </font>
    <font>
      <b/>
      <sz val="7"/>
      <color theme="3" tint="-0.499984740745262"/>
      <name val="Consolas"/>
      <family val="3"/>
    </font>
    <font>
      <sz val="9"/>
      <color theme="3" tint="-0.499984740745262"/>
      <name val="Consolas"/>
      <family val="3"/>
    </font>
    <font>
      <b/>
      <sz val="8"/>
      <color theme="3" tint="-0.499984740745262"/>
      <name val="Consolas"/>
      <family val="3"/>
    </font>
    <font>
      <sz val="7"/>
      <color theme="3" tint="-0.499984740745262"/>
      <name val="Consolas"/>
      <family val="3"/>
    </font>
    <font>
      <sz val="8"/>
      <color theme="1" tint="0.14999847407452621"/>
      <name val="Consolas"/>
      <family val="3"/>
    </font>
    <font>
      <sz val="6"/>
      <color theme="1" tint="0.14999847407452621"/>
      <name val="Consolas"/>
      <family val="3"/>
    </font>
    <font>
      <sz val="10"/>
      <color theme="1" tint="0.14999847407452621"/>
      <name val="Consolas"/>
      <family val="3"/>
    </font>
    <font>
      <sz val="9"/>
      <color indexed="53"/>
      <name val="Consolas"/>
      <family val="3"/>
    </font>
    <font>
      <sz val="9"/>
      <color theme="1" tint="0.14999847407452621"/>
      <name val="Consolas"/>
      <family val="3"/>
    </font>
    <font>
      <b/>
      <sz val="9"/>
      <color theme="3" tint="-0.499984740745262"/>
      <name val="Consolas"/>
      <family val="3"/>
    </font>
    <font>
      <sz val="10"/>
      <color theme="3" tint="-0.499984740745262"/>
      <name val="Arial"/>
      <family val="2"/>
    </font>
    <font>
      <b/>
      <sz val="16"/>
      <color theme="3" tint="-0.499984740745262"/>
      <name val="Consolas"/>
      <family val="3"/>
    </font>
  </fonts>
  <fills count="1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62"/>
      </top>
      <bottom/>
      <diagonal/>
    </border>
    <border>
      <left style="thin">
        <color indexed="62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 style="thin">
        <color indexed="6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3">
    <xf numFmtId="0" fontId="0" fillId="0" borderId="0"/>
    <xf numFmtId="0" fontId="10" fillId="2" borderId="0" applyNumberFormat="0" applyBorder="0" applyAlignment="0" applyProtection="0"/>
    <xf numFmtId="0" fontId="11" fillId="0" borderId="1" applyNumberFormat="0" applyFill="0" applyAlignment="0" applyProtection="0"/>
  </cellStyleXfs>
  <cellXfs count="372">
    <xf numFmtId="0" fontId="0" fillId="0" borderId="0" xfId="0"/>
    <xf numFmtId="0" fontId="3" fillId="0" borderId="0" xfId="0" applyFont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left"/>
    </xf>
    <xf numFmtId="0" fontId="2" fillId="6" borderId="0" xfId="0" applyFont="1" applyFill="1" applyAlignment="1">
      <alignment horizontal="left"/>
    </xf>
    <xf numFmtId="0" fontId="3" fillId="6" borderId="0" xfId="0" applyFont="1" applyFill="1"/>
    <xf numFmtId="0" fontId="1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14" fontId="3" fillId="6" borderId="0" xfId="0" applyNumberFormat="1" applyFont="1" applyFill="1" applyAlignment="1">
      <alignment horizontal="left"/>
    </xf>
    <xf numFmtId="4" fontId="5" fillId="6" borderId="0" xfId="0" applyNumberFormat="1" applyFont="1" applyFill="1"/>
    <xf numFmtId="0" fontId="7" fillId="6" borderId="0" xfId="0" applyFont="1" applyFill="1"/>
    <xf numFmtId="4" fontId="7" fillId="6" borderId="0" xfId="0" applyNumberFormat="1" applyFont="1" applyFill="1"/>
    <xf numFmtId="0" fontId="6" fillId="6" borderId="0" xfId="0" applyFont="1" applyFill="1"/>
    <xf numFmtId="0" fontId="5" fillId="6" borderId="0" xfId="0" applyFont="1" applyFill="1" applyAlignment="1">
      <alignment horizontal="left"/>
    </xf>
    <xf numFmtId="10" fontId="3" fillId="6" borderId="0" xfId="0" applyNumberFormat="1" applyFont="1" applyFill="1"/>
    <xf numFmtId="1" fontId="3" fillId="6" borderId="0" xfId="0" applyNumberFormat="1" applyFont="1" applyFill="1"/>
    <xf numFmtId="0" fontId="5" fillId="6" borderId="0" xfId="0" applyFont="1" applyFill="1" applyAlignment="1">
      <alignment horizontal="right"/>
    </xf>
    <xf numFmtId="1" fontId="5" fillId="6" borderId="0" xfId="0" applyNumberFormat="1" applyFont="1" applyFill="1"/>
    <xf numFmtId="0" fontId="8" fillId="6" borderId="0" xfId="0" applyFont="1" applyFill="1"/>
    <xf numFmtId="0" fontId="4" fillId="6" borderId="0" xfId="0" applyFont="1" applyFill="1" applyAlignment="1">
      <alignment horizontal="left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right"/>
    </xf>
    <xf numFmtId="4" fontId="4" fillId="6" borderId="0" xfId="0" applyNumberFormat="1" applyFont="1" applyFill="1"/>
    <xf numFmtId="1" fontId="4" fillId="6" borderId="0" xfId="0" applyNumberFormat="1" applyFont="1" applyFill="1"/>
    <xf numFmtId="0" fontId="1" fillId="6" borderId="0" xfId="0" applyFont="1" applyFill="1" applyAlignment="1">
      <alignment horizontal="left"/>
    </xf>
    <xf numFmtId="4" fontId="12" fillId="6" borderId="0" xfId="0" applyNumberFormat="1" applyFont="1" applyFill="1"/>
    <xf numFmtId="0" fontId="3" fillId="6" borderId="0" xfId="0" applyFont="1" applyFill="1" applyAlignment="1">
      <alignment horizontal="left"/>
    </xf>
    <xf numFmtId="4" fontId="3" fillId="6" borderId="0" xfId="0" applyNumberFormat="1" applyFont="1" applyFill="1"/>
    <xf numFmtId="0" fontId="13" fillId="3" borderId="0" xfId="0" applyFont="1" applyFill="1" applyAlignment="1">
      <alignment horizontal="left"/>
    </xf>
    <xf numFmtId="0" fontId="14" fillId="3" borderId="0" xfId="0" applyFont="1" applyFill="1"/>
    <xf numFmtId="0" fontId="13" fillId="3" borderId="0" xfId="0" applyFont="1" applyFill="1" applyAlignment="1">
      <alignment horizontal="center"/>
    </xf>
    <xf numFmtId="0" fontId="14" fillId="0" borderId="0" xfId="0" applyFont="1"/>
    <xf numFmtId="0" fontId="14" fillId="6" borderId="0" xfId="0" applyFont="1" applyFill="1"/>
    <xf numFmtId="0" fontId="14" fillId="3" borderId="0" xfId="0" applyFont="1" applyFill="1" applyAlignment="1">
      <alignment horizontal="left"/>
    </xf>
    <xf numFmtId="4" fontId="14" fillId="3" borderId="0" xfId="0" applyNumberFormat="1" applyFont="1" applyFill="1"/>
    <xf numFmtId="0" fontId="15" fillId="3" borderId="0" xfId="0" applyFont="1" applyFill="1"/>
    <xf numFmtId="0" fontId="16" fillId="3" borderId="0" xfId="0" applyFont="1" applyFill="1" applyAlignment="1">
      <alignment horizontal="center"/>
    </xf>
    <xf numFmtId="3" fontId="17" fillId="6" borderId="0" xfId="0" applyNumberFormat="1" applyFont="1" applyFill="1" applyAlignment="1">
      <alignment horizontal="left"/>
    </xf>
    <xf numFmtId="0" fontId="19" fillId="6" borderId="0" xfId="0" applyFont="1" applyFill="1" applyAlignment="1">
      <alignment horizontal="right"/>
    </xf>
    <xf numFmtId="0" fontId="19" fillId="6" borderId="0" xfId="0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22" fillId="3" borderId="10" xfId="0" applyFont="1" applyFill="1" applyBorder="1" applyAlignment="1">
      <alignment horizontal="center"/>
    </xf>
    <xf numFmtId="0" fontId="23" fillId="3" borderId="0" xfId="0" applyFont="1" applyFill="1"/>
    <xf numFmtId="0" fontId="23" fillId="0" borderId="0" xfId="0" applyFont="1"/>
    <xf numFmtId="1" fontId="21" fillId="3" borderId="0" xfId="0" quotePrefix="1" applyNumberFormat="1" applyFont="1" applyFill="1" applyAlignment="1">
      <alignment horizontal="center"/>
    </xf>
    <xf numFmtId="14" fontId="21" fillId="3" borderId="0" xfId="0" applyNumberFormat="1" applyFont="1" applyFill="1" applyAlignment="1">
      <alignment horizontal="center"/>
    </xf>
    <xf numFmtId="0" fontId="21" fillId="6" borderId="0" xfId="0" applyFont="1" applyFill="1" applyAlignment="1">
      <alignment horizontal="left"/>
    </xf>
    <xf numFmtId="1" fontId="21" fillId="3" borderId="0" xfId="0" applyNumberFormat="1" applyFont="1" applyFill="1" applyAlignment="1">
      <alignment horizontal="center"/>
    </xf>
    <xf numFmtId="4" fontId="21" fillId="3" borderId="0" xfId="0" applyNumberFormat="1" applyFont="1" applyFill="1" applyAlignment="1">
      <alignment horizontal="right"/>
    </xf>
    <xf numFmtId="1" fontId="21" fillId="3" borderId="0" xfId="0" applyNumberFormat="1" applyFont="1" applyFill="1" applyAlignment="1">
      <alignment horizontal="left"/>
    </xf>
    <xf numFmtId="14" fontId="21" fillId="3" borderId="0" xfId="0" applyNumberFormat="1" applyFont="1" applyFill="1" applyAlignment="1">
      <alignment horizontal="left"/>
    </xf>
    <xf numFmtId="0" fontId="24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/>
    </xf>
    <xf numFmtId="4" fontId="21" fillId="3" borderId="0" xfId="0" applyNumberFormat="1" applyFont="1" applyFill="1"/>
    <xf numFmtId="0" fontId="21" fillId="3" borderId="0" xfId="0" applyFont="1" applyFill="1"/>
    <xf numFmtId="4" fontId="24" fillId="3" borderId="0" xfId="0" applyNumberFormat="1" applyFont="1" applyFill="1"/>
    <xf numFmtId="0" fontId="25" fillId="3" borderId="0" xfId="0" applyFont="1" applyFill="1" applyAlignment="1">
      <alignment horizontal="center"/>
    </xf>
    <xf numFmtId="4" fontId="22" fillId="3" borderId="10" xfId="0" applyNumberFormat="1" applyFont="1" applyFill="1" applyBorder="1" applyAlignment="1">
      <alignment horizontal="center"/>
    </xf>
    <xf numFmtId="0" fontId="25" fillId="3" borderId="10" xfId="0" applyFont="1" applyFill="1" applyBorder="1" applyAlignment="1">
      <alignment horizontal="center"/>
    </xf>
    <xf numFmtId="4" fontId="21" fillId="6" borderId="0" xfId="0" applyNumberFormat="1" applyFont="1" applyFill="1"/>
    <xf numFmtId="10" fontId="21" fillId="3" borderId="0" xfId="0" applyNumberFormat="1" applyFont="1" applyFill="1" applyAlignment="1">
      <alignment horizontal="right"/>
    </xf>
    <xf numFmtId="1" fontId="21" fillId="3" borderId="0" xfId="0" applyNumberFormat="1" applyFont="1" applyFill="1" applyAlignment="1">
      <alignment horizontal="right"/>
    </xf>
    <xf numFmtId="4" fontId="21" fillId="3" borderId="16" xfId="0" applyNumberFormat="1" applyFont="1" applyFill="1" applyBorder="1" applyAlignment="1">
      <alignment horizontal="right"/>
    </xf>
    <xf numFmtId="0" fontId="26" fillId="3" borderId="0" xfId="0" applyFont="1" applyFill="1"/>
    <xf numFmtId="10" fontId="25" fillId="3" borderId="10" xfId="0" applyNumberFormat="1" applyFont="1" applyFill="1" applyBorder="1" applyAlignment="1">
      <alignment horizontal="right"/>
    </xf>
    <xf numFmtId="1" fontId="25" fillId="3" borderId="10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left"/>
    </xf>
    <xf numFmtId="16" fontId="21" fillId="3" borderId="0" xfId="0" applyNumberFormat="1" applyFont="1" applyFill="1"/>
    <xf numFmtId="10" fontId="21" fillId="3" borderId="0" xfId="0" applyNumberFormat="1" applyFont="1" applyFill="1"/>
    <xf numFmtId="1" fontId="21" fillId="3" borderId="0" xfId="0" applyNumberFormat="1" applyFont="1" applyFill="1"/>
    <xf numFmtId="0" fontId="27" fillId="3" borderId="0" xfId="0" applyFont="1" applyFill="1" applyAlignment="1">
      <alignment horizontal="center"/>
    </xf>
    <xf numFmtId="0" fontId="28" fillId="3" borderId="11" xfId="0" applyFont="1" applyFill="1" applyBorder="1" applyAlignment="1">
      <alignment horizontal="center"/>
    </xf>
    <xf numFmtId="0" fontId="28" fillId="3" borderId="7" xfId="0" applyFont="1" applyFill="1" applyBorder="1" applyAlignment="1">
      <alignment horizontal="center"/>
    </xf>
    <xf numFmtId="0" fontId="28" fillId="3" borderId="4" xfId="0" applyFont="1" applyFill="1" applyBorder="1" applyAlignment="1">
      <alignment horizontal="center"/>
    </xf>
    <xf numFmtId="0" fontId="21" fillId="3" borderId="7" xfId="0" applyFont="1" applyFill="1" applyBorder="1"/>
    <xf numFmtId="4" fontId="29" fillId="3" borderId="8" xfId="0" applyNumberFormat="1" applyFont="1" applyFill="1" applyBorder="1"/>
    <xf numFmtId="3" fontId="29" fillId="3" borderId="7" xfId="0" applyNumberFormat="1" applyFont="1" applyFill="1" applyBorder="1" applyAlignment="1">
      <alignment horizontal="right"/>
    </xf>
    <xf numFmtId="0" fontId="28" fillId="15" borderId="4" xfId="0" applyFont="1" applyFill="1" applyBorder="1" applyAlignment="1">
      <alignment horizontal="center"/>
    </xf>
    <xf numFmtId="4" fontId="21" fillId="16" borderId="0" xfId="0" applyNumberFormat="1" applyFont="1" applyFill="1"/>
    <xf numFmtId="3" fontId="21" fillId="16" borderId="0" xfId="0" applyNumberFormat="1" applyFont="1" applyFill="1"/>
    <xf numFmtId="0" fontId="20" fillId="3" borderId="0" xfId="0" applyFont="1" applyFill="1" applyAlignment="1">
      <alignment horizontal="center"/>
    </xf>
    <xf numFmtId="0" fontId="23" fillId="3" borderId="0" xfId="0" applyFont="1" applyFill="1" applyAlignment="1">
      <alignment horizontal="left"/>
    </xf>
    <xf numFmtId="0" fontId="20" fillId="3" borderId="0" xfId="0" applyFont="1" applyFill="1" applyAlignment="1">
      <alignment horizontal="left"/>
    </xf>
    <xf numFmtId="0" fontId="30" fillId="6" borderId="0" xfId="0" applyFont="1" applyFill="1" applyAlignment="1">
      <alignment horizontal="right"/>
    </xf>
    <xf numFmtId="0" fontId="30" fillId="6" borderId="0" xfId="0" applyFont="1" applyFill="1" applyAlignment="1">
      <alignment horizontal="left"/>
    </xf>
    <xf numFmtId="0" fontId="31" fillId="3" borderId="0" xfId="0" applyFont="1" applyFill="1" applyAlignment="1">
      <alignment horizontal="center"/>
    </xf>
    <xf numFmtId="0" fontId="32" fillId="3" borderId="0" xfId="0" applyFont="1" applyFill="1"/>
    <xf numFmtId="4" fontId="25" fillId="3" borderId="0" xfId="0" applyNumberFormat="1" applyFont="1" applyFill="1" applyAlignment="1">
      <alignment horizontal="right"/>
    </xf>
    <xf numFmtId="10" fontId="25" fillId="3" borderId="0" xfId="0" applyNumberFormat="1" applyFont="1" applyFill="1" applyAlignment="1">
      <alignment horizontal="right"/>
    </xf>
    <xf numFmtId="0" fontId="21" fillId="3" borderId="2" xfId="0" applyFont="1" applyFill="1" applyBorder="1"/>
    <xf numFmtId="4" fontId="29" fillId="3" borderId="12" xfId="0" applyNumberFormat="1" applyFont="1" applyFill="1" applyBorder="1"/>
    <xf numFmtId="3" fontId="29" fillId="3" borderId="5" xfId="0" applyNumberFormat="1" applyFont="1" applyFill="1" applyBorder="1" applyAlignment="1">
      <alignment horizontal="right"/>
    </xf>
    <xf numFmtId="4" fontId="29" fillId="3" borderId="0" xfId="0" applyNumberFormat="1" applyFont="1" applyFill="1" applyAlignment="1">
      <alignment horizontal="right"/>
    </xf>
    <xf numFmtId="0" fontId="21" fillId="3" borderId="8" xfId="0" applyFont="1" applyFill="1" applyBorder="1"/>
    <xf numFmtId="4" fontId="29" fillId="3" borderId="11" xfId="0" applyNumberFormat="1" applyFont="1" applyFill="1" applyBorder="1"/>
    <xf numFmtId="0" fontId="28" fillId="15" borderId="5" xfId="0" applyFont="1" applyFill="1" applyBorder="1" applyAlignment="1">
      <alignment horizontal="center"/>
    </xf>
    <xf numFmtId="4" fontId="23" fillId="0" borderId="0" xfId="0" applyNumberFormat="1" applyFont="1"/>
    <xf numFmtId="3" fontId="29" fillId="3" borderId="6" xfId="0" applyNumberFormat="1" applyFont="1" applyFill="1" applyBorder="1" applyAlignment="1">
      <alignment horizontal="right"/>
    </xf>
    <xf numFmtId="4" fontId="29" fillId="3" borderId="2" xfId="0" applyNumberFormat="1" applyFont="1" applyFill="1" applyBorder="1"/>
    <xf numFmtId="4" fontId="29" fillId="3" borderId="0" xfId="0" applyNumberFormat="1" applyFont="1" applyFill="1"/>
    <xf numFmtId="3" fontId="29" fillId="3" borderId="6" xfId="0" applyNumberFormat="1" applyFont="1" applyFill="1" applyBorder="1"/>
    <xf numFmtId="3" fontId="29" fillId="3" borderId="7" xfId="0" applyNumberFormat="1" applyFont="1" applyFill="1" applyBorder="1"/>
    <xf numFmtId="1" fontId="29" fillId="3" borderId="7" xfId="0" applyNumberFormat="1" applyFont="1" applyFill="1" applyBorder="1"/>
    <xf numFmtId="4" fontId="29" fillId="3" borderId="2" xfId="0" applyNumberFormat="1" applyFont="1" applyFill="1" applyBorder="1" applyAlignment="1">
      <alignment horizontal="right"/>
    </xf>
    <xf numFmtId="0" fontId="21" fillId="0" borderId="0" xfId="0" applyFont="1"/>
    <xf numFmtId="0" fontId="31" fillId="3" borderId="0" xfId="0" applyFont="1" applyFill="1" applyAlignment="1">
      <alignment horizontal="left"/>
    </xf>
    <xf numFmtId="3" fontId="21" fillId="3" borderId="0" xfId="0" applyNumberFormat="1" applyFont="1" applyFill="1"/>
    <xf numFmtId="0" fontId="27" fillId="3" borderId="11" xfId="0" applyFont="1" applyFill="1" applyBorder="1" applyAlignment="1">
      <alignment horizontal="center"/>
    </xf>
    <xf numFmtId="0" fontId="27" fillId="3" borderId="7" xfId="0" applyFont="1" applyFill="1" applyBorder="1" applyAlignment="1">
      <alignment horizontal="center"/>
    </xf>
    <xf numFmtId="0" fontId="27" fillId="3" borderId="4" xfId="0" applyFont="1" applyFill="1" applyBorder="1" applyAlignment="1">
      <alignment horizontal="center"/>
    </xf>
    <xf numFmtId="3" fontId="29" fillId="3" borderId="14" xfId="0" applyNumberFormat="1" applyFont="1" applyFill="1" applyBorder="1" applyAlignment="1">
      <alignment horizontal="right"/>
    </xf>
    <xf numFmtId="3" fontId="29" fillId="3" borderId="3" xfId="0" applyNumberFormat="1" applyFont="1" applyFill="1" applyBorder="1"/>
    <xf numFmtId="3" fontId="21" fillId="3" borderId="6" xfId="0" applyNumberFormat="1" applyFont="1" applyFill="1" applyBorder="1"/>
    <xf numFmtId="4" fontId="21" fillId="3" borderId="8" xfId="0" applyNumberFormat="1" applyFont="1" applyFill="1" applyBorder="1"/>
    <xf numFmtId="3" fontId="21" fillId="3" borderId="9" xfId="0" applyNumberFormat="1" applyFont="1" applyFill="1" applyBorder="1"/>
    <xf numFmtId="4" fontId="21" fillId="3" borderId="11" xfId="0" applyNumberFormat="1" applyFont="1" applyFill="1" applyBorder="1"/>
    <xf numFmtId="3" fontId="21" fillId="3" borderId="7" xfId="0" applyNumberFormat="1" applyFont="1" applyFill="1" applyBorder="1"/>
    <xf numFmtId="0" fontId="27" fillId="15" borderId="5" xfId="0" applyFont="1" applyFill="1" applyBorder="1" applyAlignment="1">
      <alignment horizontal="center"/>
    </xf>
    <xf numFmtId="0" fontId="27" fillId="15" borderId="4" xfId="0" applyFont="1" applyFill="1" applyBorder="1" applyAlignment="1">
      <alignment horizontal="center"/>
    </xf>
    <xf numFmtId="3" fontId="21" fillId="3" borderId="3" xfId="0" applyNumberFormat="1" applyFont="1" applyFill="1" applyBorder="1"/>
    <xf numFmtId="4" fontId="21" fillId="3" borderId="2" xfId="0" applyNumberFormat="1" applyFont="1" applyFill="1" applyBorder="1"/>
    <xf numFmtId="4" fontId="21" fillId="3" borderId="3" xfId="0" applyNumberFormat="1" applyFont="1" applyFill="1" applyBorder="1"/>
    <xf numFmtId="4" fontId="21" fillId="3" borderId="9" xfId="0" applyNumberFormat="1" applyFont="1" applyFill="1" applyBorder="1"/>
    <xf numFmtId="0" fontId="21" fillId="0" borderId="0" xfId="0" applyFont="1" applyAlignment="1">
      <alignment horizontal="left"/>
    </xf>
    <xf numFmtId="14" fontId="21" fillId="0" borderId="18" xfId="0" applyNumberFormat="1" applyFont="1" applyBorder="1" applyAlignment="1">
      <alignment horizontal="center"/>
    </xf>
    <xf numFmtId="0" fontId="34" fillId="3" borderId="0" xfId="0" applyFont="1" applyFill="1" applyAlignment="1">
      <alignment horizontal="center"/>
    </xf>
    <xf numFmtId="4" fontId="29" fillId="3" borderId="29" xfId="0" applyNumberFormat="1" applyFont="1" applyFill="1" applyBorder="1" applyAlignment="1">
      <alignment horizontal="right"/>
    </xf>
    <xf numFmtId="4" fontId="25" fillId="3" borderId="17" xfId="0" applyNumberFormat="1" applyFont="1" applyFill="1" applyBorder="1" applyAlignment="1">
      <alignment horizontal="right"/>
    </xf>
    <xf numFmtId="4" fontId="29" fillId="3" borderId="14" xfId="0" applyNumberFormat="1" applyFont="1" applyFill="1" applyBorder="1" applyAlignment="1">
      <alignment horizontal="right"/>
    </xf>
    <xf numFmtId="4" fontId="29" fillId="3" borderId="3" xfId="0" applyNumberFormat="1" applyFont="1" applyFill="1" applyBorder="1"/>
    <xf numFmtId="4" fontId="22" fillId="3" borderId="0" xfId="0" applyNumberFormat="1" applyFont="1" applyFill="1" applyAlignment="1">
      <alignment horizontal="center"/>
    </xf>
    <xf numFmtId="4" fontId="25" fillId="3" borderId="0" xfId="0" applyNumberFormat="1" applyFont="1" applyFill="1"/>
    <xf numFmtId="1" fontId="25" fillId="3" borderId="0" xfId="0" applyNumberFormat="1" applyFont="1" applyFill="1" applyAlignment="1">
      <alignment horizontal="right"/>
    </xf>
    <xf numFmtId="2" fontId="21" fillId="3" borderId="6" xfId="0" applyNumberFormat="1" applyFont="1" applyFill="1" applyBorder="1" applyAlignment="1">
      <alignment horizontal="right"/>
    </xf>
    <xf numFmtId="0" fontId="23" fillId="6" borderId="0" xfId="0" applyFont="1" applyFill="1"/>
    <xf numFmtId="0" fontId="23" fillId="6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4" fontId="29" fillId="3" borderId="0" xfId="0" applyNumberFormat="1" applyFont="1" applyFill="1" applyAlignment="1">
      <alignment horizontal="center"/>
    </xf>
    <xf numFmtId="3" fontId="29" fillId="3" borderId="0" xfId="0" applyNumberFormat="1" applyFont="1" applyFill="1" applyAlignment="1">
      <alignment horizontal="center"/>
    </xf>
    <xf numFmtId="0" fontId="20" fillId="0" borderId="0" xfId="0" applyFont="1" applyAlignment="1">
      <alignment horizontal="left"/>
    </xf>
    <xf numFmtId="0" fontId="23" fillId="3" borderId="0" xfId="0" applyFont="1" applyFill="1" applyAlignment="1">
      <alignment horizontal="center"/>
    </xf>
    <xf numFmtId="4" fontId="23" fillId="3" borderId="0" xfId="0" applyNumberFormat="1" applyFont="1" applyFill="1" applyAlignment="1">
      <alignment horizontal="center"/>
    </xf>
    <xf numFmtId="0" fontId="29" fillId="3" borderId="0" xfId="0" applyFont="1" applyFill="1"/>
    <xf numFmtId="0" fontId="29" fillId="3" borderId="0" xfId="0" applyFont="1" applyFill="1" applyAlignment="1">
      <alignment horizontal="center"/>
    </xf>
    <xf numFmtId="0" fontId="35" fillId="3" borderId="0" xfId="0" applyFont="1" applyFill="1" applyAlignment="1">
      <alignment horizontal="center"/>
    </xf>
    <xf numFmtId="3" fontId="35" fillId="3" borderId="0" xfId="0" applyNumberFormat="1" applyFont="1" applyFill="1" applyAlignment="1">
      <alignment horizontal="center"/>
    </xf>
    <xf numFmtId="0" fontId="29" fillId="6" borderId="0" xfId="0" applyFont="1" applyFill="1"/>
    <xf numFmtId="0" fontId="34" fillId="0" borderId="0" xfId="0" applyFont="1"/>
    <xf numFmtId="0" fontId="38" fillId="3" borderId="11" xfId="0" applyFont="1" applyFill="1" applyBorder="1" applyAlignment="1">
      <alignment horizontal="right"/>
    </xf>
    <xf numFmtId="0" fontId="37" fillId="3" borderId="0" xfId="0" applyFont="1" applyFill="1" applyAlignment="1">
      <alignment horizontal="center" vertical="center"/>
    </xf>
    <xf numFmtId="0" fontId="29" fillId="3" borderId="5" xfId="0" applyFont="1" applyFill="1" applyBorder="1"/>
    <xf numFmtId="4" fontId="23" fillId="3" borderId="0" xfId="0" applyNumberFormat="1" applyFont="1" applyFill="1"/>
    <xf numFmtId="0" fontId="33" fillId="3" borderId="4" xfId="0" applyFont="1" applyFill="1" applyBorder="1" applyAlignment="1">
      <alignment horizontal="center" vertical="center"/>
    </xf>
    <xf numFmtId="0" fontId="34" fillId="3" borderId="4" xfId="0" applyFont="1" applyFill="1" applyBorder="1" applyAlignment="1">
      <alignment horizontal="center" vertical="center"/>
    </xf>
    <xf numFmtId="0" fontId="34" fillId="15" borderId="4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vertical="center"/>
    </xf>
    <xf numFmtId="4" fontId="21" fillId="3" borderId="2" xfId="0" applyNumberFormat="1" applyFont="1" applyFill="1" applyBorder="1" applyAlignment="1">
      <alignment horizontal="right" vertical="center"/>
    </xf>
    <xf numFmtId="3" fontId="21" fillId="3" borderId="3" xfId="0" applyNumberFormat="1" applyFont="1" applyFill="1" applyBorder="1" applyAlignment="1">
      <alignment horizontal="right" vertical="center"/>
    </xf>
    <xf numFmtId="4" fontId="21" fillId="3" borderId="0" xfId="0" applyNumberFormat="1" applyFont="1" applyFill="1" applyAlignment="1">
      <alignment vertical="center"/>
    </xf>
    <xf numFmtId="3" fontId="21" fillId="3" borderId="3" xfId="0" applyNumberFormat="1" applyFont="1" applyFill="1" applyBorder="1" applyAlignment="1">
      <alignment vertical="center"/>
    </xf>
    <xf numFmtId="4" fontId="21" fillId="3" borderId="2" xfId="0" applyNumberFormat="1" applyFont="1" applyFill="1" applyBorder="1" applyAlignment="1">
      <alignment vertical="center"/>
    </xf>
    <xf numFmtId="0" fontId="21" fillId="3" borderId="8" xfId="0" applyFont="1" applyFill="1" applyBorder="1" applyAlignment="1">
      <alignment vertical="center"/>
    </xf>
    <xf numFmtId="4" fontId="21" fillId="3" borderId="8" xfId="0" applyNumberFormat="1" applyFont="1" applyFill="1" applyBorder="1" applyAlignment="1">
      <alignment vertical="center"/>
    </xf>
    <xf numFmtId="3" fontId="21" fillId="3" borderId="9" xfId="0" applyNumberFormat="1" applyFont="1" applyFill="1" applyBorder="1" applyAlignment="1">
      <alignment vertical="center"/>
    </xf>
    <xf numFmtId="4" fontId="21" fillId="3" borderId="11" xfId="0" applyNumberFormat="1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3" fontId="21" fillId="3" borderId="0" xfId="0" applyNumberFormat="1" applyFont="1" applyFill="1" applyAlignment="1">
      <alignment vertical="center"/>
    </xf>
    <xf numFmtId="0" fontId="34" fillId="16" borderId="0" xfId="0" applyFont="1" applyFill="1" applyAlignment="1">
      <alignment vertical="center"/>
    </xf>
    <xf numFmtId="4" fontId="34" fillId="16" borderId="0" xfId="0" applyNumberFormat="1" applyFont="1" applyFill="1" applyAlignment="1">
      <alignment vertical="center"/>
    </xf>
    <xf numFmtId="3" fontId="34" fillId="16" borderId="0" xfId="0" applyNumberFormat="1" applyFont="1" applyFill="1" applyAlignment="1">
      <alignment vertical="center"/>
    </xf>
    <xf numFmtId="0" fontId="34" fillId="3" borderId="9" xfId="0" applyFont="1" applyFill="1" applyBorder="1" applyAlignment="1">
      <alignment horizontal="right" vertical="center"/>
    </xf>
    <xf numFmtId="0" fontId="34" fillId="3" borderId="7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vertical="center"/>
    </xf>
    <xf numFmtId="4" fontId="21" fillId="3" borderId="3" xfId="0" applyNumberFormat="1" applyFont="1" applyFill="1" applyBorder="1" applyAlignment="1">
      <alignment vertical="center"/>
    </xf>
    <xf numFmtId="0" fontId="21" fillId="3" borderId="7" xfId="0" applyFont="1" applyFill="1" applyBorder="1" applyAlignment="1">
      <alignment vertical="center"/>
    </xf>
    <xf numFmtId="0" fontId="21" fillId="3" borderId="11" xfId="0" applyFont="1" applyFill="1" applyBorder="1" applyAlignment="1">
      <alignment vertical="center"/>
    </xf>
    <xf numFmtId="4" fontId="21" fillId="3" borderId="9" xfId="0" applyNumberFormat="1" applyFont="1" applyFill="1" applyBorder="1" applyAlignment="1">
      <alignment vertical="center"/>
    </xf>
    <xf numFmtId="0" fontId="21" fillId="16" borderId="0" xfId="0" applyFont="1" applyFill="1" applyAlignment="1">
      <alignment vertical="center"/>
    </xf>
    <xf numFmtId="4" fontId="21" fillId="16" borderId="0" xfId="0" applyNumberFormat="1" applyFont="1" applyFill="1" applyAlignment="1">
      <alignment vertical="center"/>
    </xf>
    <xf numFmtId="0" fontId="20" fillId="3" borderId="0" xfId="0" applyFont="1" applyFill="1" applyAlignment="1">
      <alignment horizontal="left" vertical="center"/>
    </xf>
    <xf numFmtId="4" fontId="29" fillId="3" borderId="2" xfId="0" applyNumberFormat="1" applyFont="1" applyFill="1" applyBorder="1" applyAlignment="1">
      <alignment horizontal="center" vertical="center"/>
    </xf>
    <xf numFmtId="3" fontId="29" fillId="3" borderId="3" xfId="0" applyNumberFormat="1" applyFont="1" applyFill="1" applyBorder="1" applyAlignment="1">
      <alignment horizontal="center" vertical="center"/>
    </xf>
    <xf numFmtId="4" fontId="29" fillId="3" borderId="0" xfId="0" applyNumberFormat="1" applyFont="1" applyFill="1" applyAlignment="1">
      <alignment horizontal="center" vertical="center"/>
    </xf>
    <xf numFmtId="3" fontId="29" fillId="3" borderId="0" xfId="0" applyNumberFormat="1" applyFont="1" applyFill="1" applyAlignment="1">
      <alignment horizontal="center" vertical="center"/>
    </xf>
    <xf numFmtId="4" fontId="29" fillId="3" borderId="3" xfId="0" applyNumberFormat="1" applyFont="1" applyFill="1" applyBorder="1" applyAlignment="1">
      <alignment horizontal="center" vertical="center"/>
    </xf>
    <xf numFmtId="1" fontId="29" fillId="3" borderId="3" xfId="0" applyNumberFormat="1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center" vertical="center"/>
    </xf>
    <xf numFmtId="2" fontId="29" fillId="3" borderId="3" xfId="0" applyNumberFormat="1" applyFont="1" applyFill="1" applyBorder="1" applyAlignment="1">
      <alignment horizontal="center" vertical="center"/>
    </xf>
    <xf numFmtId="3" fontId="29" fillId="3" borderId="6" xfId="0" applyNumberFormat="1" applyFont="1" applyFill="1" applyBorder="1" applyAlignment="1">
      <alignment horizontal="center" vertical="center"/>
    </xf>
    <xf numFmtId="4" fontId="23" fillId="3" borderId="2" xfId="0" applyNumberFormat="1" applyFont="1" applyFill="1" applyBorder="1" applyAlignment="1">
      <alignment horizontal="center" vertical="center"/>
    </xf>
    <xf numFmtId="1" fontId="29" fillId="3" borderId="6" xfId="0" applyNumberFormat="1" applyFont="1" applyFill="1" applyBorder="1" applyAlignment="1">
      <alignment horizontal="center" vertical="center"/>
    </xf>
    <xf numFmtId="4" fontId="29" fillId="3" borderId="8" xfId="0" applyNumberFormat="1" applyFont="1" applyFill="1" applyBorder="1" applyAlignment="1">
      <alignment horizontal="center" vertical="center"/>
    </xf>
    <xf numFmtId="3" fontId="29" fillId="3" borderId="9" xfId="0" applyNumberFormat="1" applyFont="1" applyFill="1" applyBorder="1" applyAlignment="1">
      <alignment horizontal="center" vertical="center"/>
    </xf>
    <xf numFmtId="4" fontId="29" fillId="3" borderId="11" xfId="0" applyNumberFormat="1" applyFont="1" applyFill="1" applyBorder="1" applyAlignment="1">
      <alignment horizontal="center" vertical="center"/>
    </xf>
    <xf numFmtId="3" fontId="29" fillId="3" borderId="11" xfId="0" applyNumberFormat="1" applyFont="1" applyFill="1" applyBorder="1" applyAlignment="1">
      <alignment horizontal="center" vertical="center"/>
    </xf>
    <xf numFmtId="4" fontId="29" fillId="3" borderId="7" xfId="0" applyNumberFormat="1" applyFont="1" applyFill="1" applyBorder="1" applyAlignment="1">
      <alignment horizontal="center" vertical="center"/>
    </xf>
    <xf numFmtId="1" fontId="29" fillId="3" borderId="7" xfId="0" applyNumberFormat="1" applyFont="1" applyFill="1" applyBorder="1" applyAlignment="1">
      <alignment horizontal="center" vertical="center"/>
    </xf>
    <xf numFmtId="3" fontId="29" fillId="3" borderId="7" xfId="0" applyNumberFormat="1" applyFont="1" applyFill="1" applyBorder="1" applyAlignment="1">
      <alignment horizontal="center" vertical="center"/>
    </xf>
    <xf numFmtId="4" fontId="29" fillId="3" borderId="9" xfId="0" applyNumberFormat="1" applyFont="1" applyFill="1" applyBorder="1" applyAlignment="1">
      <alignment horizontal="center" vertical="center"/>
    </xf>
    <xf numFmtId="2" fontId="29" fillId="3" borderId="7" xfId="0" applyNumberFormat="1" applyFont="1" applyFill="1" applyBorder="1" applyAlignment="1">
      <alignment horizontal="center" vertical="center"/>
    </xf>
    <xf numFmtId="1" fontId="29" fillId="3" borderId="9" xfId="0" applyNumberFormat="1" applyFont="1" applyFill="1" applyBorder="1" applyAlignment="1">
      <alignment horizontal="center" vertical="center"/>
    </xf>
    <xf numFmtId="1" fontId="29" fillId="3" borderId="0" xfId="0" applyNumberFormat="1" applyFont="1" applyFill="1" applyAlignment="1">
      <alignment horizontal="center" vertical="center"/>
    </xf>
    <xf numFmtId="1" fontId="29" fillId="3" borderId="11" xfId="0" applyNumberFormat="1" applyFont="1" applyFill="1" applyBorder="1" applyAlignment="1">
      <alignment horizontal="center" vertical="center"/>
    </xf>
    <xf numFmtId="10" fontId="29" fillId="16" borderId="6" xfId="0" applyNumberFormat="1" applyFont="1" applyFill="1" applyBorder="1" applyAlignment="1">
      <alignment horizontal="left" vertical="center"/>
    </xf>
    <xf numFmtId="10" fontId="29" fillId="16" borderId="6" xfId="0" applyNumberFormat="1" applyFont="1" applyFill="1" applyBorder="1"/>
    <xf numFmtId="0" fontId="36" fillId="3" borderId="6" xfId="0" applyFont="1" applyFill="1" applyBorder="1" applyAlignment="1">
      <alignment horizontal="right" vertical="center"/>
    </xf>
    <xf numFmtId="0" fontId="36" fillId="3" borderId="7" xfId="0" applyFont="1" applyFill="1" applyBorder="1" applyAlignment="1">
      <alignment horizontal="right" vertical="center"/>
    </xf>
    <xf numFmtId="0" fontId="38" fillId="3" borderId="4" xfId="0" applyFont="1" applyFill="1" applyBorder="1" applyAlignment="1">
      <alignment horizontal="right" vertical="center"/>
    </xf>
    <xf numFmtId="0" fontId="29" fillId="3" borderId="5" xfId="0" applyFont="1" applyFill="1" applyBorder="1" applyAlignment="1">
      <alignment horizontal="right"/>
    </xf>
    <xf numFmtId="0" fontId="23" fillId="3" borderId="0" xfId="0" applyFont="1" applyFill="1" applyAlignment="1">
      <alignment horizontal="right"/>
    </xf>
    <xf numFmtId="3" fontId="29" fillId="3" borderId="0" xfId="0" applyNumberFormat="1" applyFont="1" applyFill="1"/>
    <xf numFmtId="10" fontId="29" fillId="3" borderId="0" xfId="0" applyNumberFormat="1" applyFont="1" applyFill="1"/>
    <xf numFmtId="10" fontId="29" fillId="3" borderId="6" xfId="0" applyNumberFormat="1" applyFont="1" applyFill="1" applyBorder="1"/>
    <xf numFmtId="3" fontId="29" fillId="3" borderId="11" xfId="0" applyNumberFormat="1" applyFont="1" applyFill="1" applyBorder="1"/>
    <xf numFmtId="10" fontId="29" fillId="3" borderId="11" xfId="0" applyNumberFormat="1" applyFont="1" applyFill="1" applyBorder="1"/>
    <xf numFmtId="10" fontId="29" fillId="3" borderId="7" xfId="0" applyNumberFormat="1" applyFont="1" applyFill="1" applyBorder="1"/>
    <xf numFmtId="0" fontId="23" fillId="3" borderId="0" xfId="0" applyFont="1" applyFill="1" applyAlignment="1">
      <alignment vertical="center"/>
    </xf>
    <xf numFmtId="0" fontId="38" fillId="3" borderId="0" xfId="0" applyFont="1" applyFill="1" applyAlignment="1">
      <alignment horizontal="right" vertical="center"/>
    </xf>
    <xf numFmtId="0" fontId="36" fillId="3" borderId="6" xfId="0" applyFont="1" applyFill="1" applyBorder="1" applyAlignment="1">
      <alignment horizontal="right"/>
    </xf>
    <xf numFmtId="0" fontId="36" fillId="3" borderId="7" xfId="0" applyFont="1" applyFill="1" applyBorder="1" applyAlignment="1">
      <alignment horizontal="right"/>
    </xf>
    <xf numFmtId="0" fontId="41" fillId="3" borderId="0" xfId="0" applyFont="1" applyFill="1" applyAlignment="1">
      <alignment horizontal="left" vertical="center"/>
    </xf>
    <xf numFmtId="0" fontId="41" fillId="15" borderId="4" xfId="0" applyFont="1" applyFill="1" applyBorder="1" applyAlignment="1">
      <alignment horizontal="right" vertical="center"/>
    </xf>
    <xf numFmtId="0" fontId="41" fillId="6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15" borderId="4" xfId="0" applyFont="1" applyFill="1" applyBorder="1" applyAlignment="1">
      <alignment horizontal="center" vertical="center"/>
    </xf>
    <xf numFmtId="0" fontId="42" fillId="15" borderId="13" xfId="0" applyFont="1" applyFill="1" applyBorder="1" applyAlignment="1">
      <alignment horizontal="center" vertical="center"/>
    </xf>
    <xf numFmtId="0" fontId="43" fillId="6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0" fontId="44" fillId="15" borderId="6" xfId="0" applyFont="1" applyFill="1" applyBorder="1" applyAlignment="1">
      <alignment horizontal="right" vertical="center"/>
    </xf>
    <xf numFmtId="4" fontId="42" fillId="15" borderId="2" xfId="0" applyNumberFormat="1" applyFont="1" applyFill="1" applyBorder="1" applyAlignment="1">
      <alignment horizontal="center" vertical="center"/>
    </xf>
    <xf numFmtId="3" fontId="42" fillId="15" borderId="3" xfId="0" applyNumberFormat="1" applyFont="1" applyFill="1" applyBorder="1" applyAlignment="1">
      <alignment horizontal="center" vertical="center"/>
    </xf>
    <xf numFmtId="3" fontId="42" fillId="15" borderId="0" xfId="0" applyNumberFormat="1" applyFont="1" applyFill="1" applyAlignment="1">
      <alignment horizontal="center" vertical="center"/>
    </xf>
    <xf numFmtId="4" fontId="42" fillId="15" borderId="0" xfId="0" applyNumberFormat="1" applyFont="1" applyFill="1" applyAlignment="1">
      <alignment horizontal="center" vertical="center"/>
    </xf>
    <xf numFmtId="4" fontId="42" fillId="15" borderId="3" xfId="0" applyNumberFormat="1" applyFont="1" applyFill="1" applyBorder="1" applyAlignment="1">
      <alignment horizontal="center" vertical="center"/>
    </xf>
    <xf numFmtId="1" fontId="42" fillId="15" borderId="3" xfId="0" applyNumberFormat="1" applyFont="1" applyFill="1" applyBorder="1" applyAlignment="1">
      <alignment horizontal="center" vertical="center"/>
    </xf>
    <xf numFmtId="1" fontId="42" fillId="15" borderId="6" xfId="0" applyNumberFormat="1" applyFont="1" applyFill="1" applyBorder="1" applyAlignment="1">
      <alignment horizontal="center" vertical="center"/>
    </xf>
    <xf numFmtId="1" fontId="42" fillId="15" borderId="0" xfId="0" applyNumberFormat="1" applyFont="1" applyFill="1" applyAlignment="1">
      <alignment horizontal="center" vertical="center"/>
    </xf>
    <xf numFmtId="0" fontId="45" fillId="16" borderId="0" xfId="0" applyFont="1" applyFill="1" applyAlignment="1">
      <alignment horizontal="right" vertical="center"/>
    </xf>
    <xf numFmtId="0" fontId="42" fillId="16" borderId="0" xfId="0" applyFont="1" applyFill="1" applyAlignment="1">
      <alignment horizontal="center" vertical="center"/>
    </xf>
    <xf numFmtId="3" fontId="42" fillId="16" borderId="0" xfId="0" applyNumberFormat="1" applyFont="1" applyFill="1" applyAlignment="1">
      <alignment horizontal="center" vertical="center"/>
    </xf>
    <xf numFmtId="4" fontId="42" fillId="16" borderId="0" xfId="0" applyNumberFormat="1" applyFont="1" applyFill="1" applyAlignment="1">
      <alignment horizontal="center" vertical="center"/>
    </xf>
    <xf numFmtId="1" fontId="42" fillId="16" borderId="0" xfId="0" applyNumberFormat="1" applyFont="1" applyFill="1" applyAlignment="1">
      <alignment horizontal="center" vertical="center"/>
    </xf>
    <xf numFmtId="0" fontId="42" fillId="3" borderId="0" xfId="0" applyFont="1" applyFill="1" applyAlignment="1">
      <alignment vertical="center"/>
    </xf>
    <xf numFmtId="0" fontId="42" fillId="3" borderId="0" xfId="0" applyFont="1" applyFill="1" applyAlignment="1">
      <alignment horizontal="center" vertical="center"/>
    </xf>
    <xf numFmtId="0" fontId="43" fillId="3" borderId="0" xfId="0" applyFont="1" applyFill="1" applyAlignment="1">
      <alignment horizontal="center" vertical="center"/>
    </xf>
    <xf numFmtId="3" fontId="42" fillId="3" borderId="0" xfId="0" applyNumberFormat="1" applyFont="1" applyFill="1" applyAlignment="1">
      <alignment horizontal="center" vertical="center"/>
    </xf>
    <xf numFmtId="3" fontId="42" fillId="17" borderId="0" xfId="0" applyNumberFormat="1" applyFont="1" applyFill="1" applyAlignment="1">
      <alignment horizontal="right" vertical="center"/>
    </xf>
    <xf numFmtId="0" fontId="45" fillId="17" borderId="0" xfId="0" applyFont="1" applyFill="1" applyAlignment="1">
      <alignment horizontal="right" vertical="center"/>
    </xf>
    <xf numFmtId="3" fontId="42" fillId="17" borderId="0" xfId="0" applyNumberFormat="1" applyFont="1" applyFill="1" applyAlignment="1">
      <alignment horizontal="center" vertical="center"/>
    </xf>
    <xf numFmtId="0" fontId="48" fillId="3" borderId="0" xfId="0" applyFont="1" applyFill="1" applyAlignment="1">
      <alignment horizontal="right"/>
    </xf>
    <xf numFmtId="0" fontId="49" fillId="3" borderId="0" xfId="0" applyFont="1" applyFill="1" applyAlignment="1">
      <alignment horizontal="right" vertical="center"/>
    </xf>
    <xf numFmtId="0" fontId="49" fillId="3" borderId="0" xfId="0" applyFont="1" applyFill="1" applyAlignment="1">
      <alignment vertical="center"/>
    </xf>
    <xf numFmtId="0" fontId="49" fillId="3" borderId="0" xfId="0" applyFont="1" applyFill="1" applyAlignment="1">
      <alignment horizontal="right"/>
    </xf>
    <xf numFmtId="0" fontId="49" fillId="3" borderId="0" xfId="0" applyFont="1" applyFill="1"/>
    <xf numFmtId="3" fontId="49" fillId="3" borderId="0" xfId="0" applyNumberFormat="1" applyFont="1" applyFill="1"/>
    <xf numFmtId="4" fontId="50" fillId="3" borderId="0" xfId="0" applyNumberFormat="1" applyFont="1" applyFill="1" applyAlignment="1">
      <alignment horizontal="left"/>
    </xf>
    <xf numFmtId="4" fontId="50" fillId="3" borderId="0" xfId="0" applyNumberFormat="1" applyFont="1" applyFill="1"/>
    <xf numFmtId="0" fontId="50" fillId="0" borderId="0" xfId="0" applyFont="1"/>
    <xf numFmtId="3" fontId="50" fillId="16" borderId="0" xfId="0" applyNumberFormat="1" applyFont="1" applyFill="1" applyAlignment="1">
      <alignment horizontal="center"/>
    </xf>
    <xf numFmtId="0" fontId="43" fillId="3" borderId="0" xfId="0" applyFont="1" applyFill="1" applyAlignment="1">
      <alignment vertical="center"/>
    </xf>
    <xf numFmtId="0" fontId="47" fillId="16" borderId="0" xfId="0" applyFont="1" applyFill="1" applyAlignment="1">
      <alignment horizontal="right" vertical="center"/>
    </xf>
    <xf numFmtId="3" fontId="42" fillId="16" borderId="0" xfId="0" applyNumberFormat="1" applyFont="1" applyFill="1" applyAlignment="1">
      <alignment vertical="center"/>
    </xf>
    <xf numFmtId="10" fontId="42" fillId="16" borderId="0" xfId="0" applyNumberFormat="1" applyFont="1" applyFill="1" applyAlignment="1">
      <alignment vertical="center"/>
    </xf>
    <xf numFmtId="3" fontId="49" fillId="3" borderId="0" xfId="0" applyNumberFormat="1" applyFont="1" applyFill="1" applyAlignment="1">
      <alignment vertical="center"/>
    </xf>
    <xf numFmtId="4" fontId="21" fillId="0" borderId="0" xfId="0" applyNumberFormat="1" applyFont="1"/>
    <xf numFmtId="4" fontId="25" fillId="0" borderId="0" xfId="0" applyNumberFormat="1" applyFont="1"/>
    <xf numFmtId="0" fontId="25" fillId="0" borderId="0" xfId="0" applyFont="1" applyAlignment="1">
      <alignment horizontal="right"/>
    </xf>
    <xf numFmtId="0" fontId="54" fillId="0" borderId="0" xfId="0" applyFont="1" applyAlignment="1">
      <alignment horizontal="center"/>
    </xf>
    <xf numFmtId="4" fontId="45" fillId="0" borderId="0" xfId="0" applyNumberFormat="1" applyFont="1"/>
    <xf numFmtId="0" fontId="45" fillId="0" borderId="0" xfId="0" applyFont="1"/>
    <xf numFmtId="0" fontId="54" fillId="0" borderId="0" xfId="0" applyFont="1"/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1" fillId="5" borderId="0" xfId="0" applyFont="1" applyFill="1" applyAlignment="1">
      <alignment vertical="center"/>
    </xf>
    <xf numFmtId="4" fontId="21" fillId="0" borderId="0" xfId="0" applyNumberFormat="1" applyFont="1" applyAlignment="1">
      <alignment vertical="center"/>
    </xf>
    <xf numFmtId="4" fontId="45" fillId="0" borderId="0" xfId="0" applyNumberFormat="1" applyFont="1" applyAlignment="1">
      <alignment vertical="center"/>
    </xf>
    <xf numFmtId="0" fontId="21" fillId="12" borderId="0" xfId="0" applyFont="1" applyFill="1" applyAlignment="1">
      <alignment vertical="center"/>
    </xf>
    <xf numFmtId="0" fontId="21" fillId="9" borderId="0" xfId="0" applyFont="1" applyFill="1" applyAlignment="1">
      <alignment vertical="center"/>
    </xf>
    <xf numFmtId="0" fontId="21" fillId="8" borderId="0" xfId="0" applyFont="1" applyFill="1" applyAlignment="1">
      <alignment vertical="center"/>
    </xf>
    <xf numFmtId="0" fontId="21" fillId="14" borderId="0" xfId="0" applyFont="1" applyFill="1" applyAlignment="1">
      <alignment vertical="center"/>
    </xf>
    <xf numFmtId="0" fontId="21" fillId="4" borderId="0" xfId="0" applyFont="1" applyFill="1" applyAlignment="1">
      <alignment vertical="center"/>
    </xf>
    <xf numFmtId="0" fontId="21" fillId="7" borderId="0" xfId="0" applyFont="1" applyFill="1" applyAlignment="1">
      <alignment vertical="center"/>
    </xf>
    <xf numFmtId="0" fontId="21" fillId="15" borderId="0" xfId="0" applyFont="1" applyFill="1" applyAlignment="1">
      <alignment vertical="center"/>
    </xf>
    <xf numFmtId="0" fontId="21" fillId="13" borderId="0" xfId="0" applyFont="1" applyFill="1" applyAlignment="1">
      <alignment vertical="center"/>
    </xf>
    <xf numFmtId="0" fontId="21" fillId="10" borderId="0" xfId="0" applyFont="1" applyFill="1" applyAlignment="1">
      <alignment vertical="center"/>
    </xf>
    <xf numFmtId="0" fontId="21" fillId="11" borderId="0" xfId="0" applyFont="1" applyFill="1" applyAlignment="1">
      <alignment vertical="center"/>
    </xf>
    <xf numFmtId="0" fontId="53" fillId="0" borderId="0" xfId="0" applyFont="1" applyAlignment="1">
      <alignment horizontal="right" vertical="center"/>
    </xf>
    <xf numFmtId="4" fontId="53" fillId="0" borderId="0" xfId="0" applyNumberFormat="1" applyFont="1" applyAlignment="1">
      <alignment vertical="center"/>
    </xf>
    <xf numFmtId="0" fontId="52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10" fontId="29" fillId="16" borderId="5" xfId="0" applyNumberFormat="1" applyFont="1" applyFill="1" applyBorder="1" applyAlignment="1">
      <alignment horizontal="left" vertical="center"/>
    </xf>
    <xf numFmtId="10" fontId="42" fillId="16" borderId="3" xfId="0" applyNumberFormat="1" applyFont="1" applyFill="1" applyBorder="1" applyAlignment="1">
      <alignment horizontal="left" vertical="center"/>
    </xf>
    <xf numFmtId="0" fontId="21" fillId="6" borderId="0" xfId="0" applyFont="1" applyFill="1" applyAlignment="1">
      <alignment horizontal="center"/>
    </xf>
    <xf numFmtId="1" fontId="25" fillId="3" borderId="10" xfId="0" applyNumberFormat="1" applyFont="1" applyFill="1" applyBorder="1" applyAlignment="1">
      <alignment horizontal="center"/>
    </xf>
    <xf numFmtId="4" fontId="17" fillId="6" borderId="0" xfId="0" applyNumberFormat="1" applyFont="1" applyFill="1" applyAlignment="1">
      <alignment horizontal="right"/>
    </xf>
    <xf numFmtId="0" fontId="18" fillId="6" borderId="0" xfId="0" applyFont="1" applyFill="1" applyAlignment="1">
      <alignment horizontal="right"/>
    </xf>
    <xf numFmtId="0" fontId="21" fillId="6" borderId="0" xfId="0" applyFont="1" applyFill="1" applyAlignment="1">
      <alignment horizontal="left"/>
    </xf>
    <xf numFmtId="4" fontId="21" fillId="3" borderId="0" xfId="0" applyNumberFormat="1" applyFont="1" applyFill="1" applyAlignment="1">
      <alignment horizontal="right"/>
    </xf>
    <xf numFmtId="4" fontId="21" fillId="3" borderId="0" xfId="0" applyNumberFormat="1" applyFont="1" applyFill="1" applyAlignment="1">
      <alignment horizontal="center"/>
    </xf>
    <xf numFmtId="0" fontId="28" fillId="3" borderId="13" xfId="0" applyFont="1" applyFill="1" applyBorder="1" applyAlignment="1">
      <alignment horizontal="center"/>
    </xf>
    <xf numFmtId="0" fontId="28" fillId="3" borderId="24" xfId="0" applyFont="1" applyFill="1" applyBorder="1" applyAlignment="1">
      <alignment horizontal="center"/>
    </xf>
    <xf numFmtId="4" fontId="25" fillId="3" borderId="10" xfId="0" applyNumberFormat="1" applyFont="1" applyFill="1" applyBorder="1" applyAlignment="1">
      <alignment horizontal="right"/>
    </xf>
    <xf numFmtId="0" fontId="27" fillId="3" borderId="0" xfId="0" applyFont="1" applyFill="1" applyAlignment="1">
      <alignment horizontal="center"/>
    </xf>
    <xf numFmtId="4" fontId="25" fillId="3" borderId="25" xfId="0" applyNumberFormat="1" applyFont="1" applyFill="1" applyBorder="1" applyAlignment="1">
      <alignment horizontal="center"/>
    </xf>
    <xf numFmtId="4" fontId="25" fillId="3" borderId="22" xfId="0" applyNumberFormat="1" applyFont="1" applyFill="1" applyBorder="1" applyAlignment="1">
      <alignment horizontal="center"/>
    </xf>
    <xf numFmtId="4" fontId="21" fillId="3" borderId="23" xfId="0" applyNumberFormat="1" applyFont="1" applyFill="1" applyBorder="1" applyAlignment="1">
      <alignment horizontal="right"/>
    </xf>
    <xf numFmtId="0" fontId="25" fillId="3" borderId="19" xfId="0" applyFont="1" applyFill="1" applyBorder="1" applyAlignment="1">
      <alignment horizontal="center"/>
    </xf>
    <xf numFmtId="0" fontId="25" fillId="3" borderId="20" xfId="0" applyFont="1" applyFill="1" applyBorder="1" applyAlignment="1">
      <alignment horizontal="center"/>
    </xf>
    <xf numFmtId="0" fontId="25" fillId="3" borderId="21" xfId="0" applyFont="1" applyFill="1" applyBorder="1" applyAlignment="1">
      <alignment horizontal="center"/>
    </xf>
    <xf numFmtId="0" fontId="25" fillId="3" borderId="22" xfId="0" applyFont="1" applyFill="1" applyBorder="1" applyAlignment="1">
      <alignment horizontal="center"/>
    </xf>
    <xf numFmtId="0" fontId="25" fillId="3" borderId="10" xfId="0" applyFont="1" applyFill="1" applyBorder="1" applyAlignment="1">
      <alignment horizontal="center"/>
    </xf>
    <xf numFmtId="4" fontId="21" fillId="3" borderId="16" xfId="0" applyNumberFormat="1" applyFont="1" applyFill="1" applyBorder="1" applyAlignment="1">
      <alignment horizontal="right"/>
    </xf>
    <xf numFmtId="0" fontId="25" fillId="3" borderId="0" xfId="0" applyFont="1" applyFill="1" applyAlignment="1">
      <alignment horizontal="center"/>
    </xf>
    <xf numFmtId="0" fontId="22" fillId="3" borderId="10" xfId="0" applyFont="1" applyFill="1" applyBorder="1" applyAlignment="1">
      <alignment horizontal="center"/>
    </xf>
    <xf numFmtId="0" fontId="21" fillId="3" borderId="0" xfId="0" applyFont="1" applyFill="1" applyAlignment="1">
      <alignment vertical="top"/>
    </xf>
    <xf numFmtId="0" fontId="22" fillId="3" borderId="25" xfId="0" applyFont="1" applyFill="1" applyBorder="1" applyAlignment="1">
      <alignment horizontal="center"/>
    </xf>
    <xf numFmtId="0" fontId="22" fillId="3" borderId="22" xfId="0" applyFont="1" applyFill="1" applyBorder="1" applyAlignment="1">
      <alignment horizontal="center"/>
    </xf>
    <xf numFmtId="0" fontId="22" fillId="3" borderId="17" xfId="0" applyFont="1" applyFill="1" applyBorder="1" applyAlignment="1">
      <alignment horizontal="center"/>
    </xf>
    <xf numFmtId="4" fontId="21" fillId="3" borderId="23" xfId="0" applyNumberFormat="1" applyFont="1" applyFill="1" applyBorder="1" applyAlignment="1">
      <alignment horizontal="center"/>
    </xf>
    <xf numFmtId="4" fontId="21" fillId="3" borderId="27" xfId="0" applyNumberFormat="1" applyFont="1" applyFill="1" applyBorder="1" applyAlignment="1">
      <alignment horizontal="right"/>
    </xf>
    <xf numFmtId="4" fontId="21" fillId="3" borderId="30" xfId="0" applyNumberFormat="1" applyFont="1" applyFill="1" applyBorder="1" applyAlignment="1">
      <alignment horizontal="right"/>
    </xf>
    <xf numFmtId="4" fontId="21" fillId="3" borderId="26" xfId="0" applyNumberFormat="1" applyFont="1" applyFill="1" applyBorder="1" applyAlignment="1">
      <alignment horizontal="right"/>
    </xf>
    <xf numFmtId="4" fontId="25" fillId="3" borderId="25" xfId="0" applyNumberFormat="1" applyFont="1" applyFill="1" applyBorder="1" applyAlignment="1">
      <alignment horizontal="right"/>
    </xf>
    <xf numFmtId="4" fontId="25" fillId="3" borderId="22" xfId="0" applyNumberFormat="1" applyFont="1" applyFill="1" applyBorder="1" applyAlignment="1">
      <alignment horizontal="right"/>
    </xf>
    <xf numFmtId="0" fontId="25" fillId="3" borderId="25" xfId="0" applyFont="1" applyFill="1" applyBorder="1" applyAlignment="1">
      <alignment horizontal="center"/>
    </xf>
    <xf numFmtId="0" fontId="21" fillId="6" borderId="23" xfId="0" applyFont="1" applyFill="1" applyBorder="1" applyAlignment="1">
      <alignment horizontal="left"/>
    </xf>
    <xf numFmtId="0" fontId="25" fillId="3" borderId="17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left"/>
    </xf>
    <xf numFmtId="4" fontId="21" fillId="3" borderId="0" xfId="0" applyNumberFormat="1" applyFont="1" applyFill="1" applyAlignment="1">
      <alignment horizontal="left"/>
    </xf>
    <xf numFmtId="0" fontId="27" fillId="3" borderId="13" xfId="0" applyFont="1" applyFill="1" applyBorder="1" applyAlignment="1">
      <alignment horizontal="center"/>
    </xf>
    <xf numFmtId="0" fontId="27" fillId="3" borderId="24" xfId="0" applyFont="1" applyFill="1" applyBorder="1" applyAlignment="1">
      <alignment horizontal="center"/>
    </xf>
    <xf numFmtId="0" fontId="33" fillId="3" borderId="13" xfId="0" applyFont="1" applyFill="1" applyBorder="1" applyAlignment="1">
      <alignment horizontal="center" vertical="center"/>
    </xf>
    <xf numFmtId="0" fontId="33" fillId="3" borderId="24" xfId="0" applyFont="1" applyFill="1" applyBorder="1" applyAlignment="1">
      <alignment horizontal="center" vertical="center"/>
    </xf>
    <xf numFmtId="0" fontId="37" fillId="3" borderId="0" xfId="0" applyFont="1" applyFill="1" applyAlignment="1">
      <alignment horizontal="center"/>
    </xf>
    <xf numFmtId="0" fontId="35" fillId="15" borderId="13" xfId="0" applyFont="1" applyFill="1" applyBorder="1" applyAlignment="1">
      <alignment horizontal="center" vertical="center"/>
    </xf>
    <xf numFmtId="0" fontId="35" fillId="15" borderId="24" xfId="0" applyFont="1" applyFill="1" applyBorder="1" applyAlignment="1">
      <alignment horizontal="center" vertical="center"/>
    </xf>
    <xf numFmtId="0" fontId="33" fillId="3" borderId="15" xfId="0" applyFont="1" applyFill="1" applyBorder="1" applyAlignment="1">
      <alignment horizontal="center" vertical="center"/>
    </xf>
    <xf numFmtId="4" fontId="21" fillId="0" borderId="23" xfId="0" applyNumberFormat="1" applyFont="1" applyBorder="1" applyAlignment="1">
      <alignment horizontal="center"/>
    </xf>
    <xf numFmtId="4" fontId="21" fillId="0" borderId="28" xfId="0" applyNumberFormat="1" applyFont="1" applyBorder="1" applyAlignment="1">
      <alignment horizontal="center"/>
    </xf>
    <xf numFmtId="0" fontId="21" fillId="3" borderId="0" xfId="0" applyFont="1" applyFill="1" applyAlignment="1">
      <alignment horizontal="left"/>
    </xf>
    <xf numFmtId="0" fontId="21" fillId="0" borderId="0" xfId="0" applyFont="1" applyAlignment="1">
      <alignment horizontal="left"/>
    </xf>
    <xf numFmtId="0" fontId="46" fillId="3" borderId="13" xfId="0" applyFont="1" applyFill="1" applyBorder="1" applyAlignment="1">
      <alignment horizontal="center" vertical="center"/>
    </xf>
    <xf numFmtId="0" fontId="42" fillId="15" borderId="5" xfId="0" applyFont="1" applyFill="1" applyBorder="1" applyAlignment="1">
      <alignment horizontal="center" vertical="top" wrapText="1"/>
    </xf>
    <xf numFmtId="0" fontId="42" fillId="15" borderId="4" xfId="0" applyFont="1" applyFill="1" applyBorder="1" applyAlignment="1">
      <alignment horizontal="center" vertical="top" wrapText="1"/>
    </xf>
    <xf numFmtId="0" fontId="41" fillId="15" borderId="12" xfId="0" applyFont="1" applyFill="1" applyBorder="1" applyAlignment="1">
      <alignment horizontal="center" vertical="center"/>
    </xf>
    <xf numFmtId="0" fontId="41" fillId="15" borderId="13" xfId="0" applyFont="1" applyFill="1" applyBorder="1" applyAlignment="1">
      <alignment horizontal="center" vertical="center"/>
    </xf>
    <xf numFmtId="0" fontId="37" fillId="3" borderId="0" xfId="0" applyFont="1" applyFill="1" applyAlignment="1">
      <alignment horizontal="center" vertical="center"/>
    </xf>
    <xf numFmtId="0" fontId="41" fillId="15" borderId="24" xfId="0" applyFont="1" applyFill="1" applyBorder="1" applyAlignment="1">
      <alignment horizontal="center" vertical="center"/>
    </xf>
    <xf numFmtId="0" fontId="46" fillId="16" borderId="5" xfId="0" applyFont="1" applyFill="1" applyBorder="1" applyAlignment="1">
      <alignment horizontal="center" vertical="top" wrapText="1"/>
    </xf>
    <xf numFmtId="0" fontId="46" fillId="16" borderId="7" xfId="0" applyFont="1" applyFill="1" applyBorder="1" applyAlignment="1">
      <alignment horizontal="center" vertical="top" wrapText="1"/>
    </xf>
    <xf numFmtId="0" fontId="41" fillId="15" borderId="15" xfId="0" applyFont="1" applyFill="1" applyBorder="1" applyAlignment="1">
      <alignment horizontal="center" vertical="center"/>
    </xf>
    <xf numFmtId="4" fontId="29" fillId="3" borderId="0" xfId="0" applyNumberFormat="1" applyFont="1" applyFill="1" applyAlignment="1">
      <alignment horizontal="center"/>
    </xf>
    <xf numFmtId="0" fontId="39" fillId="3" borderId="0" xfId="0" applyFont="1" applyFill="1" applyAlignment="1">
      <alignment horizontal="center"/>
    </xf>
    <xf numFmtId="0" fontId="40" fillId="3" borderId="0" xfId="0" applyFont="1" applyFill="1" applyAlignment="1">
      <alignment horizontal="center"/>
    </xf>
    <xf numFmtId="0" fontId="55" fillId="0" borderId="0" xfId="0" applyFont="1" applyAlignment="1">
      <alignment horizontal="center"/>
    </xf>
    <xf numFmtId="0" fontId="21" fillId="3" borderId="23" xfId="0" applyFont="1" applyFill="1" applyBorder="1" applyAlignment="1"/>
    <xf numFmtId="0" fontId="21" fillId="6" borderId="0" xfId="0" applyFont="1" applyFill="1" applyAlignment="1"/>
    <xf numFmtId="4" fontId="21" fillId="6" borderId="0" xfId="0" applyNumberFormat="1" applyFont="1" applyFill="1" applyAlignment="1"/>
    <xf numFmtId="4" fontId="25" fillId="3" borderId="10" xfId="0" applyNumberFormat="1" applyFont="1" applyFill="1" applyBorder="1" applyAlignment="1"/>
    <xf numFmtId="14" fontId="21" fillId="3" borderId="0" xfId="0" applyNumberFormat="1" applyFont="1" applyFill="1" applyAlignment="1"/>
    <xf numFmtId="4" fontId="21" fillId="6" borderId="23" xfId="0" applyNumberFormat="1" applyFont="1" applyFill="1" applyBorder="1" applyAlignment="1"/>
    <xf numFmtId="4" fontId="25" fillId="3" borderId="25" xfId="0" applyNumberFormat="1" applyFont="1" applyFill="1" applyBorder="1" applyAlignment="1"/>
    <xf numFmtId="4" fontId="25" fillId="3" borderId="22" xfId="0" applyNumberFormat="1" applyFont="1" applyFill="1" applyBorder="1" applyAlignment="1"/>
    <xf numFmtId="0" fontId="21" fillId="3" borderId="0" xfId="0" applyFont="1" applyFill="1" applyAlignment="1"/>
    <xf numFmtId="4" fontId="21" fillId="3" borderId="0" xfId="0" applyNumberFormat="1" applyFont="1" applyFill="1" applyAlignment="1"/>
  </cellXfs>
  <cellStyles count="3">
    <cellStyle name="Neutral" xfId="1" builtinId="28" customBuiltin="1"/>
    <cellStyle name="Normal" xfId="0" builtinId="0"/>
    <cellStyle name="Total" xfId="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2"/>
      <c:hPercent val="38"/>
      <c:rotY val="33"/>
      <c:depthPercent val="100"/>
      <c:rAngAx val="1"/>
    </c:view3D>
    <c:floor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shade val="64706"/>
                <a:invGamma/>
              </a:srgbClr>
            </a:gs>
          </a:gsLst>
          <a:path path="rect">
            <a:fillToRect l="50000" t="50000" r="50000" b="50000"/>
          </a:path>
        </a:gradFill>
        <a:ln w="3175">
          <a:solidFill>
            <a:srgbClr val="99CCFF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969350988601752E-2"/>
          <c:y val="6.7902497852406665E-2"/>
          <c:w val="0.93121530156732513"/>
          <c:h val="0.8481562977841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433530902568539E-3"/>
                  <c:y val="-1.2854689807918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FC-4C1B-87A7-D55930FD9780}"/>
                </c:ext>
              </c:extLst>
            </c:dLbl>
            <c:dLbl>
              <c:idx val="1"/>
              <c:layout>
                <c:manualLayout>
                  <c:x val="5.8798598515045269E-3"/>
                  <c:y val="-1.8119388325303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FC-4C1B-87A7-D55930FD9780}"/>
                </c:ext>
              </c:extLst>
            </c:dLbl>
            <c:dLbl>
              <c:idx val="2"/>
              <c:layout>
                <c:manualLayout>
                  <c:x val="8.3521529118323122E-4"/>
                  <c:y val="-1.7095922426552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FC-4C1B-87A7-D55930FD9780}"/>
                </c:ext>
              </c:extLst>
            </c:dLbl>
            <c:dLbl>
              <c:idx val="3"/>
              <c:layout>
                <c:manualLayout>
                  <c:x val="8.9494299972180005E-4"/>
                  <c:y val="-2.6622792350838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FC-4C1B-87A7-D55930FD9780}"/>
                </c:ext>
              </c:extLst>
            </c:dLbl>
            <c:dLbl>
              <c:idx val="4"/>
              <c:layout>
                <c:manualLayout>
                  <c:x val="2.9624089299105402E-3"/>
                  <c:y val="-1.1961334858142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1.9782954483668947E-2"/>
                      <c:h val="2.39808059531506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8FC-4C1B-87A7-D55930FD9780}"/>
                </c:ext>
              </c:extLst>
            </c:dLbl>
            <c:dLbl>
              <c:idx val="5"/>
              <c:layout>
                <c:manualLayout>
                  <c:x val="-2.5524814513275891E-3"/>
                  <c:y val="-3.4889881697641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FC-4C1B-87A7-D55930FD9780}"/>
                </c:ext>
              </c:extLst>
            </c:dLbl>
            <c:dLbl>
              <c:idx val="6"/>
              <c:layout>
                <c:manualLayout>
                  <c:x val="4.0435097128124599E-3"/>
                  <c:y val="-1.4638735782869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FC-4C1B-87A7-D55930FD9780}"/>
                </c:ext>
              </c:extLst>
            </c:dLbl>
            <c:dLbl>
              <c:idx val="7"/>
              <c:layout>
                <c:manualLayout>
                  <c:x val="2.2539625928284621E-3"/>
                  <c:y val="-1.5710652031587252E-2"/>
                </c:manualLayout>
              </c:layout>
              <c:spPr/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07307270734381E-2"/>
                      <c:h val="4.2176134316234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8FC-4C1B-87A7-D55930FD9780}"/>
                </c:ext>
              </c:extLst>
            </c:dLbl>
            <c:dLbl>
              <c:idx val="8"/>
              <c:layout>
                <c:manualLayout>
                  <c:x val="2.1985746278086896E-3"/>
                  <c:y val="-1.996454786461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FC-4C1B-87A7-D55930FD9780}"/>
                </c:ext>
              </c:extLst>
            </c:dLbl>
            <c:dLbl>
              <c:idx val="9"/>
              <c:layout>
                <c:manualLayout>
                  <c:x val="2.9927574681878439E-3"/>
                  <c:y val="-1.216347972486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FC-4C1B-87A7-D55930FD9780}"/>
                </c:ext>
              </c:extLst>
            </c:dLbl>
            <c:dLbl>
              <c:idx val="10"/>
              <c:layout>
                <c:manualLayout>
                  <c:x val="5.7383588504546033E-3"/>
                  <c:y val="-1.39307586449837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9874,89
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F8FC-4C1B-87A7-D55930FD9780}"/>
                </c:ext>
              </c:extLst>
            </c:dLbl>
            <c:dLbl>
              <c:idx val="38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lIns="38100" tIns="19050" rIns="38100" bIns="19050">
                  <a:sp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ABC-440D-A17A-B55EBEAC35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38100" tIns="19050" rIns="38100" bIns="19050">
                <a:spAutoFit/>
              </a:bodyPr>
              <a:lstStyle/>
              <a:p>
                <a:pPr>
                  <a:defRPr sz="700"/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Comparativos!$BA$34:$BA$72</c:f>
              <c:numCache>
                <c:formatCode>General</c:formatCode>
                <c:ptCount val="39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  <c:pt idx="30">
                  <c:v>2016</c:v>
                </c:pt>
                <c:pt idx="31">
                  <c:v>2017</c:v>
                </c:pt>
                <c:pt idx="32">
                  <c:v>2018</c:v>
                </c:pt>
                <c:pt idx="33">
                  <c:v>2019</c:v>
                </c:pt>
                <c:pt idx="34">
                  <c:v>2020</c:v>
                </c:pt>
                <c:pt idx="35">
                  <c:v>2021</c:v>
                </c:pt>
                <c:pt idx="36">
                  <c:v>2022</c:v>
                </c:pt>
                <c:pt idx="37">
                  <c:v>2023</c:v>
                </c:pt>
                <c:pt idx="38">
                  <c:v>2024</c:v>
                </c:pt>
              </c:numCache>
            </c:numRef>
          </c:cat>
          <c:val>
            <c:numRef>
              <c:f>Comparativos!$BB$34:$BB$72</c:f>
              <c:numCache>
                <c:formatCode>General</c:formatCode>
                <c:ptCount val="39"/>
                <c:pt idx="0">
                  <c:v>1211.4000000000001</c:v>
                </c:pt>
                <c:pt idx="1">
                  <c:v>2100</c:v>
                </c:pt>
                <c:pt idx="2">
                  <c:v>117</c:v>
                </c:pt>
                <c:pt idx="3">
                  <c:v>21</c:v>
                </c:pt>
                <c:pt idx="4">
                  <c:v>552</c:v>
                </c:pt>
                <c:pt idx="5">
                  <c:v>0</c:v>
                </c:pt>
                <c:pt idx="6">
                  <c:v>773</c:v>
                </c:pt>
                <c:pt idx="7">
                  <c:v>1113.83</c:v>
                </c:pt>
                <c:pt idx="8">
                  <c:v>15787</c:v>
                </c:pt>
                <c:pt idx="9">
                  <c:v>23805</c:v>
                </c:pt>
                <c:pt idx="10">
                  <c:v>14055</c:v>
                </c:pt>
                <c:pt idx="11">
                  <c:v>11659</c:v>
                </c:pt>
                <c:pt idx="12" formatCode="#,##0">
                  <c:v>5977.3102399999998</c:v>
                </c:pt>
                <c:pt idx="13" formatCode="#,##0">
                  <c:v>3865.5149999999999</c:v>
                </c:pt>
                <c:pt idx="14" formatCode="#,##0">
                  <c:v>2678.8979999999997</c:v>
                </c:pt>
                <c:pt idx="15" formatCode="#,##0">
                  <c:v>8035.2370000000001</c:v>
                </c:pt>
                <c:pt idx="16" formatCode="#,##0">
                  <c:v>4961.4800000000005</c:v>
                </c:pt>
                <c:pt idx="17" formatCode="#,##0">
                  <c:v>17825.250000000004</c:v>
                </c:pt>
                <c:pt idx="18" formatCode="#,##0">
                  <c:v>17818.809999999998</c:v>
                </c:pt>
                <c:pt idx="19" formatCode="#,##0">
                  <c:v>18093.12</c:v>
                </c:pt>
                <c:pt idx="20" formatCode="#,##0">
                  <c:v>12070.68</c:v>
                </c:pt>
                <c:pt idx="21" formatCode="#,##0">
                  <c:v>13529.750000000002</c:v>
                </c:pt>
                <c:pt idx="22" formatCode="#,##0">
                  <c:v>9878.89</c:v>
                </c:pt>
                <c:pt idx="23" formatCode="#,##0">
                  <c:v>8242.5700000000015</c:v>
                </c:pt>
                <c:pt idx="24" formatCode="#,##0">
                  <c:v>11196.960000000001</c:v>
                </c:pt>
                <c:pt idx="25" formatCode="#,##0">
                  <c:v>9620.8799999999992</c:v>
                </c:pt>
                <c:pt idx="26" formatCode="#,##0">
                  <c:v>8643.85</c:v>
                </c:pt>
                <c:pt idx="27" formatCode="#,##0">
                  <c:v>7618.9299999999994</c:v>
                </c:pt>
                <c:pt idx="28" formatCode="#,##0">
                  <c:v>6964.68</c:v>
                </c:pt>
                <c:pt idx="29" formatCode="#,##0">
                  <c:v>3235.5399999999995</c:v>
                </c:pt>
                <c:pt idx="30" formatCode="#,##0">
                  <c:v>2683.7099999999996</c:v>
                </c:pt>
                <c:pt idx="31" formatCode="#,##0">
                  <c:v>3323.79</c:v>
                </c:pt>
                <c:pt idx="32" formatCode="#,##0">
                  <c:v>4035.24</c:v>
                </c:pt>
                <c:pt idx="33" formatCode="#,##0">
                  <c:v>5736.75</c:v>
                </c:pt>
                <c:pt idx="34" formatCode="#,##0">
                  <c:v>4385.5500000000011</c:v>
                </c:pt>
                <c:pt idx="35" formatCode="#,##0">
                  <c:v>5655.3</c:v>
                </c:pt>
                <c:pt idx="36" formatCode="#,##0">
                  <c:v>4316.6099999999997</c:v>
                </c:pt>
                <c:pt idx="37" formatCode="#,##0">
                  <c:v>2737.5299999999997</c:v>
                </c:pt>
                <c:pt idx="38" formatCode="#,##0">
                  <c:v>1210.92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FC-4C1B-87A7-D55930FD9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3359"/>
        <c:axId val="1"/>
        <c:axId val="0"/>
      </c:bar3DChart>
      <c:catAx>
        <c:axId val="170487335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04873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25400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" r="0.75" t="1" header="0" footer="0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8"/>
      <c:hPercent val="134"/>
      <c:rotY val="44"/>
      <c:depthPercent val="100"/>
      <c:rAngAx val="1"/>
    </c:view3D>
    <c:floor>
      <c:thickness val="0"/>
      <c:spPr>
        <a:noFill/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0577617328519857"/>
          <c:y val="0.1729106628242075"/>
          <c:w val="0.67870036101083031"/>
          <c:h val="0.78962536023054752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8080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FFE-4ED7-B5C4-23AD27B4BEF4}"/>
              </c:ext>
            </c:extLst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99CC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FE-4ED7-B5C4-23AD27B4BEF4}"/>
              </c:ext>
            </c:extLst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FF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FFE-4ED7-B5C4-23AD27B4BEF4}"/>
              </c:ext>
            </c:extLst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CC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FFE-4ED7-B5C4-23AD27B4BEF4}"/>
              </c:ext>
            </c:extLst>
          </c:dPt>
          <c:dLbls>
            <c:dLbl>
              <c:idx val="0"/>
              <c:layout>
                <c:manualLayout>
                  <c:x val="9.037847964936585E-2"/>
                  <c:y val="-2.209117520252335E-2"/>
                </c:manualLayout>
              </c:layout>
              <c:spPr>
                <a:solidFill>
                  <a:srgbClr val="FF8080"/>
                </a:solidFill>
                <a:ln w="3175">
                  <a:solidFill>
                    <a:srgbClr val="FF8080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FE-4ED7-B5C4-23AD27B4BEF4}"/>
                </c:ext>
              </c:extLst>
            </c:dLbl>
            <c:dLbl>
              <c:idx val="1"/>
              <c:layout>
                <c:manualLayout>
                  <c:x val="9.0883345814936387E-2"/>
                  <c:y val="-2.7732826262207005E-2"/>
                </c:manualLayout>
              </c:layout>
              <c:spPr>
                <a:solidFill>
                  <a:srgbClr val="99CCFF"/>
                </a:solidFill>
                <a:ln w="3175">
                  <a:solidFill>
                    <a:srgbClr val="99CCFF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E-4ED7-B5C4-23AD27B4BEF4}"/>
                </c:ext>
              </c:extLst>
            </c:dLbl>
            <c:dLbl>
              <c:idx val="2"/>
              <c:layout>
                <c:manualLayout>
                  <c:x val="9.037847964936585E-2"/>
                  <c:y val="-2.1846628165008822E-2"/>
                </c:manualLayout>
              </c:layout>
              <c:spPr>
                <a:solidFill>
                  <a:srgbClr val="FFFF99"/>
                </a:solidFill>
                <a:ln w="3175">
                  <a:solidFill>
                    <a:srgbClr val="FFFF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FE-4ED7-B5C4-23AD27B4BEF4}"/>
                </c:ext>
              </c:extLst>
            </c:dLbl>
            <c:dLbl>
              <c:idx val="3"/>
              <c:layout>
                <c:manualLayout>
                  <c:x val="8.622264243002184E-2"/>
                  <c:y val="-2.4684196946358154E-2"/>
                </c:manualLayout>
              </c:layout>
              <c:spPr>
                <a:solidFill>
                  <a:srgbClr val="FFCC99"/>
                </a:solidFill>
                <a:ln w="3175">
                  <a:solidFill>
                    <a:srgbClr val="FFCC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FE-4ED7-B5C4-23AD27B4BEF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Comparativos!$G$51:$J$51</c:f>
              <c:numCache>
                <c:formatCode>#,##0</c:formatCode>
                <c:ptCount val="4"/>
                <c:pt idx="0">
                  <c:v>0</c:v>
                </c:pt>
                <c:pt idx="1">
                  <c:v>1210920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FE-4ED7-B5C4-23AD27B4B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5023"/>
        <c:axId val="1"/>
        <c:axId val="0"/>
      </c:bar3DChart>
      <c:catAx>
        <c:axId val="1704875023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7048750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" r="0.75" t="1" header="0" footer="0"/>
    <c:pageSetup orientation="landscape" horizontalDpi="-3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9</xdr:row>
      <xdr:rowOff>104774</xdr:rowOff>
    </xdr:from>
    <xdr:to>
      <xdr:col>6</xdr:col>
      <xdr:colOff>401955</xdr:colOff>
      <xdr:row>14</xdr:row>
      <xdr:rowOff>123824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3829FB45-DF69-452D-AE1E-36C4866E8E81}"/>
            </a:ext>
          </a:extLst>
        </xdr:cNvPr>
        <xdr:cNvSpPr txBox="1">
          <a:spLocks noChangeArrowheads="1"/>
        </xdr:cNvSpPr>
      </xdr:nvSpPr>
      <xdr:spPr bwMode="auto">
        <a:xfrm>
          <a:off x="1943100" y="1562099"/>
          <a:ext cx="288798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AR" sz="1800" b="1" i="0" u="none" strike="noStrike" baseline="0">
              <a:solidFill>
                <a:srgbClr val="000000"/>
              </a:solidFill>
              <a:latin typeface="Consolas" panose="020B0609020204030204" pitchFamily="49" charset="0"/>
            </a:rPr>
            <a:t>DATOS ESTADÍSTICOS </a:t>
          </a:r>
        </a:p>
        <a:p>
          <a:pPr algn="ctr" rtl="0">
            <a:defRPr sz="1000"/>
          </a:pPr>
          <a:r>
            <a:rPr lang="es-AR" sz="1800" b="1" i="0" u="none" strike="noStrike" baseline="0">
              <a:solidFill>
                <a:srgbClr val="0070C0"/>
              </a:solidFill>
              <a:latin typeface="Consolas" panose="020B0609020204030204" pitchFamily="49" charset="0"/>
            </a:rPr>
            <a:t>Movimiento del Sector Pesquero</a:t>
          </a:r>
        </a:p>
        <a:p>
          <a:pPr algn="ctr" rtl="0">
            <a:defRPr sz="1000"/>
          </a:pPr>
          <a:endParaRPr lang="es-AR" sz="1000" b="1" i="0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1</xdr:col>
      <xdr:colOff>295275</xdr:colOff>
      <xdr:row>20</xdr:row>
      <xdr:rowOff>133350</xdr:rowOff>
    </xdr:from>
    <xdr:to>
      <xdr:col>8</xdr:col>
      <xdr:colOff>295275</xdr:colOff>
      <xdr:row>44</xdr:row>
      <xdr:rowOff>133350</xdr:rowOff>
    </xdr:to>
    <xdr:pic>
      <xdr:nvPicPr>
        <xdr:cNvPr id="1875141" name="Picture 6">
          <a:extLst>
            <a:ext uri="{FF2B5EF4-FFF2-40B4-BE49-F238E27FC236}">
              <a16:creationId xmlns:a16="http://schemas.microsoft.com/office/drawing/2014/main" id="{E4CCFD10-7A2B-46EC-8C73-84DF9A5232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400425"/>
          <a:ext cx="5667375" cy="388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295275</xdr:colOff>
      <xdr:row>45</xdr:row>
      <xdr:rowOff>19050</xdr:rowOff>
    </xdr:from>
    <xdr:to>
      <xdr:col>8</xdr:col>
      <xdr:colOff>276225</xdr:colOff>
      <xdr:row>47</xdr:row>
      <xdr:rowOff>66675</xdr:rowOff>
    </xdr:to>
    <xdr:sp macro="" textlink="">
      <xdr:nvSpPr>
        <xdr:cNvPr id="6" name="Text Box 7" descr="Pontón Flotante - Puerto San Antonio Este - Río Negro - República Argentina&#10;">
          <a:extLst>
            <a:ext uri="{FF2B5EF4-FFF2-40B4-BE49-F238E27FC236}">
              <a16:creationId xmlns:a16="http://schemas.microsoft.com/office/drawing/2014/main" id="{F75529A3-A923-49F5-82FA-60E2854BFDCB}"/>
            </a:ext>
          </a:extLst>
        </xdr:cNvPr>
        <xdr:cNvSpPr txBox="1">
          <a:spLocks noChangeArrowheads="1"/>
        </xdr:cNvSpPr>
      </xdr:nvSpPr>
      <xdr:spPr bwMode="auto">
        <a:xfrm>
          <a:off x="581025" y="7343775"/>
          <a:ext cx="56483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nsolas" panose="020B0609020204030204" pitchFamily="49" charset="0"/>
            </a:rPr>
            <a:t>Pontón Flotante - Puerto San Antonio Este - Río Negro - República Argentina</a:t>
          </a:r>
        </a:p>
      </xdr:txBody>
    </xdr:sp>
    <xdr:clientData/>
  </xdr:twoCellAnchor>
  <xdr:twoCellAnchor editAs="oneCell">
    <xdr:from>
      <xdr:col>2</xdr:col>
      <xdr:colOff>851535</xdr:colOff>
      <xdr:row>47</xdr:row>
      <xdr:rowOff>142875</xdr:rowOff>
    </xdr:from>
    <xdr:to>
      <xdr:col>6</xdr:col>
      <xdr:colOff>742950</xdr:colOff>
      <xdr:row>54</xdr:row>
      <xdr:rowOff>53340</xdr:rowOff>
    </xdr:to>
    <xdr:sp macro="" textlink="">
      <xdr:nvSpPr>
        <xdr:cNvPr id="12296" name="Text Box 8">
          <a:extLst>
            <a:ext uri="{FF2B5EF4-FFF2-40B4-BE49-F238E27FC236}">
              <a16:creationId xmlns:a16="http://schemas.microsoft.com/office/drawing/2014/main" id="{AA07A039-4E5D-4D7E-8DA1-8359CD320A2B}"/>
            </a:ext>
          </a:extLst>
        </xdr:cNvPr>
        <xdr:cNvSpPr txBox="1">
          <a:spLocks noChangeArrowheads="1"/>
        </xdr:cNvSpPr>
      </xdr:nvSpPr>
      <xdr:spPr bwMode="auto">
        <a:xfrm>
          <a:off x="2002155" y="8060055"/>
          <a:ext cx="3305175" cy="1083945"/>
        </a:xfrm>
        <a:prstGeom prst="rect">
          <a:avLst/>
        </a:prstGeom>
        <a:solidFill>
          <a:srgbClr val="FFFF99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Movimiento del Sector Pesquero</a:t>
          </a:r>
        </a:p>
        <a:p>
          <a:pPr algn="ctr" rtl="0">
            <a:defRPr sz="1000"/>
          </a:pPr>
          <a:endParaRPr lang="es-AR" sz="900" b="0" i="0" u="none" strike="noStrike" baseline="0">
            <a:solidFill>
              <a:srgbClr val="3366FF"/>
            </a:solidFill>
            <a:latin typeface="Consolas" panose="020B0609020204030204" pitchFamily="49" charset="0"/>
          </a:endParaRP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Datos mensuales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Comparativo año anterior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Acumulativo semestral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Acumulativo anual</a:t>
          </a:r>
        </a:p>
      </xdr:txBody>
    </xdr:sp>
    <xdr:clientData/>
  </xdr:twoCellAnchor>
  <xdr:twoCellAnchor>
    <xdr:from>
      <xdr:col>1</xdr:col>
      <xdr:colOff>714375</xdr:colOff>
      <xdr:row>57</xdr:row>
      <xdr:rowOff>142875</xdr:rowOff>
    </xdr:from>
    <xdr:to>
      <xdr:col>7</xdr:col>
      <xdr:colOff>390525</xdr:colOff>
      <xdr:row>62</xdr:row>
      <xdr:rowOff>104775</xdr:rowOff>
    </xdr:to>
    <xdr:sp macro="" textlink="">
      <xdr:nvSpPr>
        <xdr:cNvPr id="12297" name="Text Box 9">
          <a:extLst>
            <a:ext uri="{FF2B5EF4-FFF2-40B4-BE49-F238E27FC236}">
              <a16:creationId xmlns:a16="http://schemas.microsoft.com/office/drawing/2014/main" id="{7357EE35-6581-4C8A-820F-3EE85600DDA6}"/>
            </a:ext>
          </a:extLst>
        </xdr:cNvPr>
        <xdr:cNvSpPr txBox="1">
          <a:spLocks noChangeArrowheads="1"/>
        </xdr:cNvSpPr>
      </xdr:nvSpPr>
      <xdr:spPr bwMode="auto">
        <a:xfrm>
          <a:off x="1000125" y="9372600"/>
          <a:ext cx="4581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Zona Operativa: (02934) 492046/05/06 fax- 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3</xdr:col>
      <xdr:colOff>447675</xdr:colOff>
      <xdr:row>1</xdr:row>
      <xdr:rowOff>28575</xdr:rowOff>
    </xdr:from>
    <xdr:to>
      <xdr:col>6</xdr:col>
      <xdr:colOff>93390</xdr:colOff>
      <xdr:row>9</xdr:row>
      <xdr:rowOff>26055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B8255008-3A7B-49A4-A79D-8DD789E71575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390775" y="19050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3" name="Text Box 7">
          <a:extLst>
            <a:ext uri="{FF2B5EF4-FFF2-40B4-BE49-F238E27FC236}">
              <a16:creationId xmlns:a16="http://schemas.microsoft.com/office/drawing/2014/main" id="{437075B3-017F-4BBC-826B-6A99F57EB95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4" name="Text Box 8">
          <a:extLst>
            <a:ext uri="{FF2B5EF4-FFF2-40B4-BE49-F238E27FC236}">
              <a16:creationId xmlns:a16="http://schemas.microsoft.com/office/drawing/2014/main" id="{9242F21C-C38D-42F3-8578-1BB8583C31D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8" name="Text Box 12">
          <a:extLst>
            <a:ext uri="{FF2B5EF4-FFF2-40B4-BE49-F238E27FC236}">
              <a16:creationId xmlns:a16="http://schemas.microsoft.com/office/drawing/2014/main" id="{8B62DBF6-18E5-4CE7-8BCE-17C336DCB6D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9" name="Text Box 13">
          <a:extLst>
            <a:ext uri="{FF2B5EF4-FFF2-40B4-BE49-F238E27FC236}">
              <a16:creationId xmlns:a16="http://schemas.microsoft.com/office/drawing/2014/main" id="{C4BFE9D6-36C0-44A7-BF32-19C2B476161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1" name="Text Box 15">
          <a:extLst>
            <a:ext uri="{FF2B5EF4-FFF2-40B4-BE49-F238E27FC236}">
              <a16:creationId xmlns:a16="http://schemas.microsoft.com/office/drawing/2014/main" id="{518D4C5D-257D-4727-9B87-2CF4A1F602A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2" name="Text Box 16">
          <a:extLst>
            <a:ext uri="{FF2B5EF4-FFF2-40B4-BE49-F238E27FC236}">
              <a16:creationId xmlns:a16="http://schemas.microsoft.com/office/drawing/2014/main" id="{D5139AC6-624F-456B-B45F-4C65866444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3" name="Text Box 17">
          <a:extLst>
            <a:ext uri="{FF2B5EF4-FFF2-40B4-BE49-F238E27FC236}">
              <a16:creationId xmlns:a16="http://schemas.microsoft.com/office/drawing/2014/main" id="{663D02D2-26EC-4DD2-876E-E15ABF142C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4" name="Text Box 18">
          <a:extLst>
            <a:ext uri="{FF2B5EF4-FFF2-40B4-BE49-F238E27FC236}">
              <a16:creationId xmlns:a16="http://schemas.microsoft.com/office/drawing/2014/main" id="{FE4205B9-7399-4F3F-B6B1-EEC845657FC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5" name="Text Box 19">
          <a:extLst>
            <a:ext uri="{FF2B5EF4-FFF2-40B4-BE49-F238E27FC236}">
              <a16:creationId xmlns:a16="http://schemas.microsoft.com/office/drawing/2014/main" id="{7A502864-31A6-4CE9-B18B-8715C4ABB55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6" name="Text Box 20">
          <a:extLst>
            <a:ext uri="{FF2B5EF4-FFF2-40B4-BE49-F238E27FC236}">
              <a16:creationId xmlns:a16="http://schemas.microsoft.com/office/drawing/2014/main" id="{431CB0F9-B4BB-4859-B9DB-4A30D256F1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7" name="Text Box 21">
          <a:extLst>
            <a:ext uri="{FF2B5EF4-FFF2-40B4-BE49-F238E27FC236}">
              <a16:creationId xmlns:a16="http://schemas.microsoft.com/office/drawing/2014/main" id="{F6A431AF-98C2-47B3-B505-E8B8F9A1498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8" name="Text Box 22">
          <a:extLst>
            <a:ext uri="{FF2B5EF4-FFF2-40B4-BE49-F238E27FC236}">
              <a16:creationId xmlns:a16="http://schemas.microsoft.com/office/drawing/2014/main" id="{84552A96-1698-4928-A111-54337F588C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9" name="Text Box 23">
          <a:extLst>
            <a:ext uri="{FF2B5EF4-FFF2-40B4-BE49-F238E27FC236}">
              <a16:creationId xmlns:a16="http://schemas.microsoft.com/office/drawing/2014/main" id="{E75B2D4E-674A-4423-A3E3-8C13AC4A60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0" name="Text Box 24">
          <a:extLst>
            <a:ext uri="{FF2B5EF4-FFF2-40B4-BE49-F238E27FC236}">
              <a16:creationId xmlns:a16="http://schemas.microsoft.com/office/drawing/2014/main" id="{D510CB9B-E625-4630-9E73-99973AD4361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4" name="Text Box 28">
          <a:extLst>
            <a:ext uri="{FF2B5EF4-FFF2-40B4-BE49-F238E27FC236}">
              <a16:creationId xmlns:a16="http://schemas.microsoft.com/office/drawing/2014/main" id="{B4E6E17E-64FB-4721-8867-CD407D8A83D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5" name="Text Box 29">
          <a:extLst>
            <a:ext uri="{FF2B5EF4-FFF2-40B4-BE49-F238E27FC236}">
              <a16:creationId xmlns:a16="http://schemas.microsoft.com/office/drawing/2014/main" id="{895DEA5B-49C2-4F88-8315-394C2F29FAD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7" name="Text Box 31">
          <a:extLst>
            <a:ext uri="{FF2B5EF4-FFF2-40B4-BE49-F238E27FC236}">
              <a16:creationId xmlns:a16="http://schemas.microsoft.com/office/drawing/2014/main" id="{E036AF59-B4CD-4D81-9FB6-8A71044B64B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8" name="Text Box 32">
          <a:extLst>
            <a:ext uri="{FF2B5EF4-FFF2-40B4-BE49-F238E27FC236}">
              <a16:creationId xmlns:a16="http://schemas.microsoft.com/office/drawing/2014/main" id="{F6F33FB1-C6BE-4F95-B265-A3369C706FD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9" name="Text Box 33">
          <a:extLst>
            <a:ext uri="{FF2B5EF4-FFF2-40B4-BE49-F238E27FC236}">
              <a16:creationId xmlns:a16="http://schemas.microsoft.com/office/drawing/2014/main" id="{C0F70E73-F06D-47F1-B07D-CC8D3F30D8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0" name="Text Box 34">
          <a:extLst>
            <a:ext uri="{FF2B5EF4-FFF2-40B4-BE49-F238E27FC236}">
              <a16:creationId xmlns:a16="http://schemas.microsoft.com/office/drawing/2014/main" id="{80977434-8FA6-4BC8-A3BF-9CB96B2C9B4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1" name="Text Box 35">
          <a:extLst>
            <a:ext uri="{FF2B5EF4-FFF2-40B4-BE49-F238E27FC236}">
              <a16:creationId xmlns:a16="http://schemas.microsoft.com/office/drawing/2014/main" id="{B4C0944D-B136-4DBA-9093-7E1D3F4715C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2" name="Text Box 36">
          <a:extLst>
            <a:ext uri="{FF2B5EF4-FFF2-40B4-BE49-F238E27FC236}">
              <a16:creationId xmlns:a16="http://schemas.microsoft.com/office/drawing/2014/main" id="{7564874D-DE99-4C65-9D67-27D91D7248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3" name="Text Box 37">
          <a:extLst>
            <a:ext uri="{FF2B5EF4-FFF2-40B4-BE49-F238E27FC236}">
              <a16:creationId xmlns:a16="http://schemas.microsoft.com/office/drawing/2014/main" id="{B2CEBEE9-6DA2-4AC8-B4AE-7811DE3DDA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4" name="Text Box 38">
          <a:extLst>
            <a:ext uri="{FF2B5EF4-FFF2-40B4-BE49-F238E27FC236}">
              <a16:creationId xmlns:a16="http://schemas.microsoft.com/office/drawing/2014/main" id="{CF4B0F83-E82B-4B53-A979-457A4702A7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5" name="Text Box 39">
          <a:extLst>
            <a:ext uri="{FF2B5EF4-FFF2-40B4-BE49-F238E27FC236}">
              <a16:creationId xmlns:a16="http://schemas.microsoft.com/office/drawing/2014/main" id="{AC870995-0F4E-4FAF-894B-0DC3918402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6" name="Text Box 40">
          <a:extLst>
            <a:ext uri="{FF2B5EF4-FFF2-40B4-BE49-F238E27FC236}">
              <a16:creationId xmlns:a16="http://schemas.microsoft.com/office/drawing/2014/main" id="{1740B6DA-58E6-426C-9F50-691FC2DF869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788715</xdr:colOff>
      <xdr:row>8</xdr:row>
      <xdr:rowOff>83205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72C76B0-1F83-43EE-A9C9-98B8B9A489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4" name="Text Box 24">
          <a:extLst>
            <a:ext uri="{FF2B5EF4-FFF2-40B4-BE49-F238E27FC236}">
              <a16:creationId xmlns:a16="http://schemas.microsoft.com/office/drawing/2014/main" id="{7220E13E-07C9-425E-863E-EE46D8A5E7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5" name="Text Box 25">
          <a:extLst>
            <a:ext uri="{FF2B5EF4-FFF2-40B4-BE49-F238E27FC236}">
              <a16:creationId xmlns:a16="http://schemas.microsoft.com/office/drawing/2014/main" id="{C20DFB45-DBB7-48F4-A6DC-73729F8C5C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6" name="Text Box 26">
          <a:extLst>
            <a:ext uri="{FF2B5EF4-FFF2-40B4-BE49-F238E27FC236}">
              <a16:creationId xmlns:a16="http://schemas.microsoft.com/office/drawing/2014/main" id="{2E2D62C6-97B9-4A73-A7DD-B96FBCBC079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7" name="Text Box 27">
          <a:extLst>
            <a:ext uri="{FF2B5EF4-FFF2-40B4-BE49-F238E27FC236}">
              <a16:creationId xmlns:a16="http://schemas.microsoft.com/office/drawing/2014/main" id="{7496B372-1B20-43E5-82A9-75486568B34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8" name="Text Box 28">
          <a:extLst>
            <a:ext uri="{FF2B5EF4-FFF2-40B4-BE49-F238E27FC236}">
              <a16:creationId xmlns:a16="http://schemas.microsoft.com/office/drawing/2014/main" id="{443E54CC-CB88-47F9-ACC4-623C8F35E6F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9" name="Text Box 29">
          <a:extLst>
            <a:ext uri="{FF2B5EF4-FFF2-40B4-BE49-F238E27FC236}">
              <a16:creationId xmlns:a16="http://schemas.microsoft.com/office/drawing/2014/main" id="{7C7BB4ED-AB3E-4C5D-B7C6-418F75DFB57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0" name="Text Box 30">
          <a:extLst>
            <a:ext uri="{FF2B5EF4-FFF2-40B4-BE49-F238E27FC236}">
              <a16:creationId xmlns:a16="http://schemas.microsoft.com/office/drawing/2014/main" id="{048F14CE-6D6F-45DC-91F1-100F4EFFE7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1" name="Text Box 31">
          <a:extLst>
            <a:ext uri="{FF2B5EF4-FFF2-40B4-BE49-F238E27FC236}">
              <a16:creationId xmlns:a16="http://schemas.microsoft.com/office/drawing/2014/main" id="{17FE54AD-13BA-4AA8-A9AB-BEAC0960276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2" name="Text Box 32">
          <a:extLst>
            <a:ext uri="{FF2B5EF4-FFF2-40B4-BE49-F238E27FC236}">
              <a16:creationId xmlns:a16="http://schemas.microsoft.com/office/drawing/2014/main" id="{0E41FB32-8D9D-4A4F-9146-918229111E5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3" name="Text Box 33">
          <a:extLst>
            <a:ext uri="{FF2B5EF4-FFF2-40B4-BE49-F238E27FC236}">
              <a16:creationId xmlns:a16="http://schemas.microsoft.com/office/drawing/2014/main" id="{936E6820-0C78-4E1E-BC2D-C41C43F90B2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4" name="Text Box 34">
          <a:extLst>
            <a:ext uri="{FF2B5EF4-FFF2-40B4-BE49-F238E27FC236}">
              <a16:creationId xmlns:a16="http://schemas.microsoft.com/office/drawing/2014/main" id="{A4068B75-065D-4FAD-AE0D-993B3A9C804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5" name="Text Box 35">
          <a:extLst>
            <a:ext uri="{FF2B5EF4-FFF2-40B4-BE49-F238E27FC236}">
              <a16:creationId xmlns:a16="http://schemas.microsoft.com/office/drawing/2014/main" id="{9A3AA8D6-E03B-4718-B7E7-082C1EDF3DD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6" name="Text Box 36">
          <a:extLst>
            <a:ext uri="{FF2B5EF4-FFF2-40B4-BE49-F238E27FC236}">
              <a16:creationId xmlns:a16="http://schemas.microsoft.com/office/drawing/2014/main" id="{A48DC27A-E85F-4621-86BC-64CAC6C17D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7" name="Text Box 37">
          <a:extLst>
            <a:ext uri="{FF2B5EF4-FFF2-40B4-BE49-F238E27FC236}">
              <a16:creationId xmlns:a16="http://schemas.microsoft.com/office/drawing/2014/main" id="{58888D47-C63C-41B5-A531-50241079830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8" name="Text Box 38">
          <a:extLst>
            <a:ext uri="{FF2B5EF4-FFF2-40B4-BE49-F238E27FC236}">
              <a16:creationId xmlns:a16="http://schemas.microsoft.com/office/drawing/2014/main" id="{1F928D1A-3FA8-4165-B1AD-5F8AC0858B7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9" name="Text Box 39">
          <a:extLst>
            <a:ext uri="{FF2B5EF4-FFF2-40B4-BE49-F238E27FC236}">
              <a16:creationId xmlns:a16="http://schemas.microsoft.com/office/drawing/2014/main" id="{0E50806B-745E-4D34-ACB2-8386307786F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3" name="Text Box 43">
          <a:extLst>
            <a:ext uri="{FF2B5EF4-FFF2-40B4-BE49-F238E27FC236}">
              <a16:creationId xmlns:a16="http://schemas.microsoft.com/office/drawing/2014/main" id="{E859F5BE-56F1-4110-874C-479F95C910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4" name="Text Box 44">
          <a:extLst>
            <a:ext uri="{FF2B5EF4-FFF2-40B4-BE49-F238E27FC236}">
              <a16:creationId xmlns:a16="http://schemas.microsoft.com/office/drawing/2014/main" id="{2233C0BC-6EAB-40FC-BB85-38C82094812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5" name="Text Box 45">
          <a:extLst>
            <a:ext uri="{FF2B5EF4-FFF2-40B4-BE49-F238E27FC236}">
              <a16:creationId xmlns:a16="http://schemas.microsoft.com/office/drawing/2014/main" id="{B054A2AB-2A0E-41A5-8AAB-C44F2E6971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6" name="Text Box 46">
          <a:extLst>
            <a:ext uri="{FF2B5EF4-FFF2-40B4-BE49-F238E27FC236}">
              <a16:creationId xmlns:a16="http://schemas.microsoft.com/office/drawing/2014/main" id="{ACEB40F8-BBA0-4EA1-BC38-E295E441A97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7" name="Text Box 47">
          <a:extLst>
            <a:ext uri="{FF2B5EF4-FFF2-40B4-BE49-F238E27FC236}">
              <a16:creationId xmlns:a16="http://schemas.microsoft.com/office/drawing/2014/main" id="{E8DB1AE9-0BC4-48F8-BC46-D71EEBB23CA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8" name="Text Box 48">
          <a:extLst>
            <a:ext uri="{FF2B5EF4-FFF2-40B4-BE49-F238E27FC236}">
              <a16:creationId xmlns:a16="http://schemas.microsoft.com/office/drawing/2014/main" id="{57EF9358-EA84-4527-9B76-1CB113F11AE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9" name="Text Box 49">
          <a:extLst>
            <a:ext uri="{FF2B5EF4-FFF2-40B4-BE49-F238E27FC236}">
              <a16:creationId xmlns:a16="http://schemas.microsoft.com/office/drawing/2014/main" id="{B09B8F63-A218-41FA-B182-CF21BDE7DAB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0" name="Text Box 50">
          <a:extLst>
            <a:ext uri="{FF2B5EF4-FFF2-40B4-BE49-F238E27FC236}">
              <a16:creationId xmlns:a16="http://schemas.microsoft.com/office/drawing/2014/main" id="{DE07AE98-B7EC-48E2-A49E-55089CEE83A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1" name="Text Box 51">
          <a:extLst>
            <a:ext uri="{FF2B5EF4-FFF2-40B4-BE49-F238E27FC236}">
              <a16:creationId xmlns:a16="http://schemas.microsoft.com/office/drawing/2014/main" id="{5DE00F64-17CB-4092-9EDD-6E3EE08C433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2" name="Text Box 52">
          <a:extLst>
            <a:ext uri="{FF2B5EF4-FFF2-40B4-BE49-F238E27FC236}">
              <a16:creationId xmlns:a16="http://schemas.microsoft.com/office/drawing/2014/main" id="{8B950765-1935-42E2-9D51-230DB9D09CB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3" name="Text Box 53">
          <a:extLst>
            <a:ext uri="{FF2B5EF4-FFF2-40B4-BE49-F238E27FC236}">
              <a16:creationId xmlns:a16="http://schemas.microsoft.com/office/drawing/2014/main" id="{D7CD2E49-9768-42E8-B56E-ADDC509FCE6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4" name="Text Box 54">
          <a:extLst>
            <a:ext uri="{FF2B5EF4-FFF2-40B4-BE49-F238E27FC236}">
              <a16:creationId xmlns:a16="http://schemas.microsoft.com/office/drawing/2014/main" id="{435268CB-7C91-492A-A23B-A46576663A3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99DE6F2-CCA4-463E-BFEB-1D892C8E292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1" name="Text Box 7">
          <a:extLst>
            <a:ext uri="{FF2B5EF4-FFF2-40B4-BE49-F238E27FC236}">
              <a16:creationId xmlns:a16="http://schemas.microsoft.com/office/drawing/2014/main" id="{C51ECFAD-F611-43DE-831F-770992D662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2" name="Text Box 8">
          <a:extLst>
            <a:ext uri="{FF2B5EF4-FFF2-40B4-BE49-F238E27FC236}">
              <a16:creationId xmlns:a16="http://schemas.microsoft.com/office/drawing/2014/main" id="{D1B91C76-DC73-40D6-87D1-3C886F3BF2C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5" name="Text Box 11">
          <a:extLst>
            <a:ext uri="{FF2B5EF4-FFF2-40B4-BE49-F238E27FC236}">
              <a16:creationId xmlns:a16="http://schemas.microsoft.com/office/drawing/2014/main" id="{929B8A85-117F-474B-9F45-7E0CAB8B9C5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6" name="Text Box 12">
          <a:extLst>
            <a:ext uri="{FF2B5EF4-FFF2-40B4-BE49-F238E27FC236}">
              <a16:creationId xmlns:a16="http://schemas.microsoft.com/office/drawing/2014/main" id="{44643B44-EA5F-445C-8905-5375F597C6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7" name="Text Box 13">
          <a:extLst>
            <a:ext uri="{FF2B5EF4-FFF2-40B4-BE49-F238E27FC236}">
              <a16:creationId xmlns:a16="http://schemas.microsoft.com/office/drawing/2014/main" id="{3510C2AA-BFD0-4D33-B486-9C0604D95D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8" name="Text Box 14">
          <a:extLst>
            <a:ext uri="{FF2B5EF4-FFF2-40B4-BE49-F238E27FC236}">
              <a16:creationId xmlns:a16="http://schemas.microsoft.com/office/drawing/2014/main" id="{80B7DC77-4D4B-4BDD-A2F5-C412DB0E38C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9" name="Text Box 15">
          <a:extLst>
            <a:ext uri="{FF2B5EF4-FFF2-40B4-BE49-F238E27FC236}">
              <a16:creationId xmlns:a16="http://schemas.microsoft.com/office/drawing/2014/main" id="{ECCD43D5-B3AA-493A-A4B5-0BD74023DB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0" name="Text Box 16">
          <a:extLst>
            <a:ext uri="{FF2B5EF4-FFF2-40B4-BE49-F238E27FC236}">
              <a16:creationId xmlns:a16="http://schemas.microsoft.com/office/drawing/2014/main" id="{C0967C59-93AF-49BB-B27B-92E2B0F35CB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1" name="Text Box 17">
          <a:extLst>
            <a:ext uri="{FF2B5EF4-FFF2-40B4-BE49-F238E27FC236}">
              <a16:creationId xmlns:a16="http://schemas.microsoft.com/office/drawing/2014/main" id="{B0847529-8EE1-42DC-B48D-B47425817BD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2" name="Text Box 18">
          <a:extLst>
            <a:ext uri="{FF2B5EF4-FFF2-40B4-BE49-F238E27FC236}">
              <a16:creationId xmlns:a16="http://schemas.microsoft.com/office/drawing/2014/main" id="{9855FBD7-E664-4280-AC28-4503748A05B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3" name="Text Box 19">
          <a:extLst>
            <a:ext uri="{FF2B5EF4-FFF2-40B4-BE49-F238E27FC236}">
              <a16:creationId xmlns:a16="http://schemas.microsoft.com/office/drawing/2014/main" id="{EE22AB86-675C-464C-AAD7-538605DDC9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4" name="Text Box 20">
          <a:extLst>
            <a:ext uri="{FF2B5EF4-FFF2-40B4-BE49-F238E27FC236}">
              <a16:creationId xmlns:a16="http://schemas.microsoft.com/office/drawing/2014/main" id="{46171EC8-59BB-4988-A12E-1D6EA2C83A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5" name="Text Box 21">
          <a:extLst>
            <a:ext uri="{FF2B5EF4-FFF2-40B4-BE49-F238E27FC236}">
              <a16:creationId xmlns:a16="http://schemas.microsoft.com/office/drawing/2014/main" id="{FD534D0F-E7F4-4F34-9E01-6DAD650B297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6" name="Text Box 22">
          <a:extLst>
            <a:ext uri="{FF2B5EF4-FFF2-40B4-BE49-F238E27FC236}">
              <a16:creationId xmlns:a16="http://schemas.microsoft.com/office/drawing/2014/main" id="{68A5B18F-034B-48DB-B102-AAA6EF70142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7" name="Text Box 23">
          <a:extLst>
            <a:ext uri="{FF2B5EF4-FFF2-40B4-BE49-F238E27FC236}">
              <a16:creationId xmlns:a16="http://schemas.microsoft.com/office/drawing/2014/main" id="{18FC7E7C-6645-4923-9678-258D6D93D22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8" name="Text Box 24">
          <a:extLst>
            <a:ext uri="{FF2B5EF4-FFF2-40B4-BE49-F238E27FC236}">
              <a16:creationId xmlns:a16="http://schemas.microsoft.com/office/drawing/2014/main" id="{9572CF1D-A616-4132-97BE-FA8FB6B548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9" name="Text Box 25">
          <a:extLst>
            <a:ext uri="{FF2B5EF4-FFF2-40B4-BE49-F238E27FC236}">
              <a16:creationId xmlns:a16="http://schemas.microsoft.com/office/drawing/2014/main" id="{BF58EA6A-9FA9-4EDA-82B9-28BBF4F7807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0" name="Text Box 26">
          <a:extLst>
            <a:ext uri="{FF2B5EF4-FFF2-40B4-BE49-F238E27FC236}">
              <a16:creationId xmlns:a16="http://schemas.microsoft.com/office/drawing/2014/main" id="{6DEC7EDC-4021-4121-A702-4D7A8982DEE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2" name="Text Box 28">
          <a:extLst>
            <a:ext uri="{FF2B5EF4-FFF2-40B4-BE49-F238E27FC236}">
              <a16:creationId xmlns:a16="http://schemas.microsoft.com/office/drawing/2014/main" id="{5434813C-C020-4EAF-BC55-4097F66F14B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3" name="Text Box 29">
          <a:extLst>
            <a:ext uri="{FF2B5EF4-FFF2-40B4-BE49-F238E27FC236}">
              <a16:creationId xmlns:a16="http://schemas.microsoft.com/office/drawing/2014/main" id="{1B95DE12-4C6C-4256-8746-1D461DD48CE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4" name="Text Box 30">
          <a:extLst>
            <a:ext uri="{FF2B5EF4-FFF2-40B4-BE49-F238E27FC236}">
              <a16:creationId xmlns:a16="http://schemas.microsoft.com/office/drawing/2014/main" id="{77F69095-35E2-4DE1-8869-6A1643ED7E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5" name="Text Box 31">
          <a:extLst>
            <a:ext uri="{FF2B5EF4-FFF2-40B4-BE49-F238E27FC236}">
              <a16:creationId xmlns:a16="http://schemas.microsoft.com/office/drawing/2014/main" id="{991C5F99-97EF-447F-94BC-D243E49A77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6" name="Text Box 32">
          <a:extLst>
            <a:ext uri="{FF2B5EF4-FFF2-40B4-BE49-F238E27FC236}">
              <a16:creationId xmlns:a16="http://schemas.microsoft.com/office/drawing/2014/main" id="{61636D84-4BE2-49EA-AAB7-4543D1362F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7" name="Text Box 33">
          <a:extLst>
            <a:ext uri="{FF2B5EF4-FFF2-40B4-BE49-F238E27FC236}">
              <a16:creationId xmlns:a16="http://schemas.microsoft.com/office/drawing/2014/main" id="{D43A7769-DE69-4DBA-99A2-46D7CD412D6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8" name="Text Box 34">
          <a:extLst>
            <a:ext uri="{FF2B5EF4-FFF2-40B4-BE49-F238E27FC236}">
              <a16:creationId xmlns:a16="http://schemas.microsoft.com/office/drawing/2014/main" id="{CFC39220-0A7B-4014-950E-DABC38661D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9" name="Text Box 35">
          <a:extLst>
            <a:ext uri="{FF2B5EF4-FFF2-40B4-BE49-F238E27FC236}">
              <a16:creationId xmlns:a16="http://schemas.microsoft.com/office/drawing/2014/main" id="{3331588A-45EB-433A-9A96-326D97BC419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0" name="Text Box 36">
          <a:extLst>
            <a:ext uri="{FF2B5EF4-FFF2-40B4-BE49-F238E27FC236}">
              <a16:creationId xmlns:a16="http://schemas.microsoft.com/office/drawing/2014/main" id="{134F7228-F015-4137-B17C-82B76A2137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1" name="Text Box 37">
          <a:extLst>
            <a:ext uri="{FF2B5EF4-FFF2-40B4-BE49-F238E27FC236}">
              <a16:creationId xmlns:a16="http://schemas.microsoft.com/office/drawing/2014/main" id="{2D5384B6-B506-4B14-903E-86195BEF64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2" name="Text Box 38">
          <a:extLst>
            <a:ext uri="{FF2B5EF4-FFF2-40B4-BE49-F238E27FC236}">
              <a16:creationId xmlns:a16="http://schemas.microsoft.com/office/drawing/2014/main" id="{65757483-90B0-4407-9732-FEA8D0F0A1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3" name="Text Box 39">
          <a:extLst>
            <a:ext uri="{FF2B5EF4-FFF2-40B4-BE49-F238E27FC236}">
              <a16:creationId xmlns:a16="http://schemas.microsoft.com/office/drawing/2014/main" id="{1089D792-ACCD-47EF-AED7-D2D968D61A2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57150</xdr:rowOff>
    </xdr:from>
    <xdr:to>
      <xdr:col>3</xdr:col>
      <xdr:colOff>779190</xdr:colOff>
      <xdr:row>8</xdr:row>
      <xdr:rowOff>83205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924BBA35-FE7A-477C-AAE6-D85DCF0A99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5" name="Text Box 7">
          <a:extLst>
            <a:ext uri="{FF2B5EF4-FFF2-40B4-BE49-F238E27FC236}">
              <a16:creationId xmlns:a16="http://schemas.microsoft.com/office/drawing/2014/main" id="{BA20EB50-D7C2-4705-9EA9-1C99A206879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61FAA681-0F04-42FF-A202-D7237119B8E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9" name="Text Box 11">
          <a:extLst>
            <a:ext uri="{FF2B5EF4-FFF2-40B4-BE49-F238E27FC236}">
              <a16:creationId xmlns:a16="http://schemas.microsoft.com/office/drawing/2014/main" id="{ED225523-3743-44C6-B4D7-85ABE84AAF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0" name="Text Box 12">
          <a:extLst>
            <a:ext uri="{FF2B5EF4-FFF2-40B4-BE49-F238E27FC236}">
              <a16:creationId xmlns:a16="http://schemas.microsoft.com/office/drawing/2014/main" id="{A226B503-647B-420A-96EC-4179C9AED4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1" name="Text Box 13">
          <a:extLst>
            <a:ext uri="{FF2B5EF4-FFF2-40B4-BE49-F238E27FC236}">
              <a16:creationId xmlns:a16="http://schemas.microsoft.com/office/drawing/2014/main" id="{8B4D9E59-552A-42C9-B0DF-466DD935C70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2" name="Text Box 14">
          <a:extLst>
            <a:ext uri="{FF2B5EF4-FFF2-40B4-BE49-F238E27FC236}">
              <a16:creationId xmlns:a16="http://schemas.microsoft.com/office/drawing/2014/main" id="{770ADA11-BC21-4064-8BC8-7D0E4D055A9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3" name="Text Box 15">
          <a:extLst>
            <a:ext uri="{FF2B5EF4-FFF2-40B4-BE49-F238E27FC236}">
              <a16:creationId xmlns:a16="http://schemas.microsoft.com/office/drawing/2014/main" id="{F65974A6-A2A9-4EC4-BAB9-E3816239749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4" name="Text Box 16">
          <a:extLst>
            <a:ext uri="{FF2B5EF4-FFF2-40B4-BE49-F238E27FC236}">
              <a16:creationId xmlns:a16="http://schemas.microsoft.com/office/drawing/2014/main" id="{07553EF1-967F-416E-BB29-37F77A416C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5" name="Text Box 17">
          <a:extLst>
            <a:ext uri="{FF2B5EF4-FFF2-40B4-BE49-F238E27FC236}">
              <a16:creationId xmlns:a16="http://schemas.microsoft.com/office/drawing/2014/main" id="{F405DC0D-F6B4-4902-8FE3-68506455C0F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6" name="Text Box 18">
          <a:extLst>
            <a:ext uri="{FF2B5EF4-FFF2-40B4-BE49-F238E27FC236}">
              <a16:creationId xmlns:a16="http://schemas.microsoft.com/office/drawing/2014/main" id="{5FC8174A-7CD7-46F8-BA2E-B14AFF7BB8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7" name="Text Box 19">
          <a:extLst>
            <a:ext uri="{FF2B5EF4-FFF2-40B4-BE49-F238E27FC236}">
              <a16:creationId xmlns:a16="http://schemas.microsoft.com/office/drawing/2014/main" id="{B76E8069-19CD-405D-B3CD-FCFC44B429F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8" name="Text Box 20">
          <a:extLst>
            <a:ext uri="{FF2B5EF4-FFF2-40B4-BE49-F238E27FC236}">
              <a16:creationId xmlns:a16="http://schemas.microsoft.com/office/drawing/2014/main" id="{D929FD13-82BB-4B0B-A4C7-10768A0AC9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9" name="Text Box 21">
          <a:extLst>
            <a:ext uri="{FF2B5EF4-FFF2-40B4-BE49-F238E27FC236}">
              <a16:creationId xmlns:a16="http://schemas.microsoft.com/office/drawing/2014/main" id="{5014F0FD-25FC-430C-BA9E-8156F1BA0F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0" name="Text Box 22">
          <a:extLst>
            <a:ext uri="{FF2B5EF4-FFF2-40B4-BE49-F238E27FC236}">
              <a16:creationId xmlns:a16="http://schemas.microsoft.com/office/drawing/2014/main" id="{ED8BFFCE-EA3F-4F9D-8026-5C1736A08A8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1" name="Text Box 23">
          <a:extLst>
            <a:ext uri="{FF2B5EF4-FFF2-40B4-BE49-F238E27FC236}">
              <a16:creationId xmlns:a16="http://schemas.microsoft.com/office/drawing/2014/main" id="{EDB743A3-962A-4C30-B49C-3F176D23915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2" name="Text Box 24">
          <a:extLst>
            <a:ext uri="{FF2B5EF4-FFF2-40B4-BE49-F238E27FC236}">
              <a16:creationId xmlns:a16="http://schemas.microsoft.com/office/drawing/2014/main" id="{6C9B2702-6FBC-499D-A875-002625D7FB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3" name="Text Box 25">
          <a:extLst>
            <a:ext uri="{FF2B5EF4-FFF2-40B4-BE49-F238E27FC236}">
              <a16:creationId xmlns:a16="http://schemas.microsoft.com/office/drawing/2014/main" id="{87ECC807-7BD1-46E8-946E-8CE43E98C9C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4" name="Text Box 26">
          <a:extLst>
            <a:ext uri="{FF2B5EF4-FFF2-40B4-BE49-F238E27FC236}">
              <a16:creationId xmlns:a16="http://schemas.microsoft.com/office/drawing/2014/main" id="{35ABE1ED-627E-448D-8BEF-882A27ACF24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5" name="Text Box 27">
          <a:extLst>
            <a:ext uri="{FF2B5EF4-FFF2-40B4-BE49-F238E27FC236}">
              <a16:creationId xmlns:a16="http://schemas.microsoft.com/office/drawing/2014/main" id="{DEC8F5A7-C405-4D7A-A5D4-9C307D31BF1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6" name="Text Box 28">
          <a:extLst>
            <a:ext uri="{FF2B5EF4-FFF2-40B4-BE49-F238E27FC236}">
              <a16:creationId xmlns:a16="http://schemas.microsoft.com/office/drawing/2014/main" id="{7D642799-6AB3-4766-B58A-A747357CF66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8" name="Text Box 30">
          <a:extLst>
            <a:ext uri="{FF2B5EF4-FFF2-40B4-BE49-F238E27FC236}">
              <a16:creationId xmlns:a16="http://schemas.microsoft.com/office/drawing/2014/main" id="{7E5BF6B6-8A25-4CE5-A5D8-0D59B7EB7E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9" name="Text Box 31">
          <a:extLst>
            <a:ext uri="{FF2B5EF4-FFF2-40B4-BE49-F238E27FC236}">
              <a16:creationId xmlns:a16="http://schemas.microsoft.com/office/drawing/2014/main" id="{389ED084-C4E4-4958-9A74-BD66F30755F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0" name="Text Box 32">
          <a:extLst>
            <a:ext uri="{FF2B5EF4-FFF2-40B4-BE49-F238E27FC236}">
              <a16:creationId xmlns:a16="http://schemas.microsoft.com/office/drawing/2014/main" id="{33EA9089-9E85-435B-A9F9-FEADDCB5C26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1" name="Text Box 33">
          <a:extLst>
            <a:ext uri="{FF2B5EF4-FFF2-40B4-BE49-F238E27FC236}">
              <a16:creationId xmlns:a16="http://schemas.microsoft.com/office/drawing/2014/main" id="{028AE434-917A-4A60-BF2A-78016F50B36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2" name="Text Box 34">
          <a:extLst>
            <a:ext uri="{FF2B5EF4-FFF2-40B4-BE49-F238E27FC236}">
              <a16:creationId xmlns:a16="http://schemas.microsoft.com/office/drawing/2014/main" id="{F41474D4-386D-4E41-9D20-A3B73E86DFA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3" name="Text Box 35">
          <a:extLst>
            <a:ext uri="{FF2B5EF4-FFF2-40B4-BE49-F238E27FC236}">
              <a16:creationId xmlns:a16="http://schemas.microsoft.com/office/drawing/2014/main" id="{6DCCC462-D28F-463F-87D8-74EC166CD18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4" name="Text Box 36">
          <a:extLst>
            <a:ext uri="{FF2B5EF4-FFF2-40B4-BE49-F238E27FC236}">
              <a16:creationId xmlns:a16="http://schemas.microsoft.com/office/drawing/2014/main" id="{C8ACFFCB-A264-4D60-BA1F-8172C45B8F8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5" name="Text Box 37">
          <a:extLst>
            <a:ext uri="{FF2B5EF4-FFF2-40B4-BE49-F238E27FC236}">
              <a16:creationId xmlns:a16="http://schemas.microsoft.com/office/drawing/2014/main" id="{E708CBBA-0C42-49C4-8CA6-F697B6F781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6" name="Text Box 38">
          <a:extLst>
            <a:ext uri="{FF2B5EF4-FFF2-40B4-BE49-F238E27FC236}">
              <a16:creationId xmlns:a16="http://schemas.microsoft.com/office/drawing/2014/main" id="{147FEEC3-430A-466B-9B18-E9670538568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7" name="Text Box 39">
          <a:extLst>
            <a:ext uri="{FF2B5EF4-FFF2-40B4-BE49-F238E27FC236}">
              <a16:creationId xmlns:a16="http://schemas.microsoft.com/office/drawing/2014/main" id="{0794C54A-7190-47A2-BA85-90B7D0DB40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8" name="Text Box 40">
          <a:extLst>
            <a:ext uri="{FF2B5EF4-FFF2-40B4-BE49-F238E27FC236}">
              <a16:creationId xmlns:a16="http://schemas.microsoft.com/office/drawing/2014/main" id="{865DC4DD-EC92-426D-87C7-9F2CF2989B6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9" name="Text Box 41">
          <a:extLst>
            <a:ext uri="{FF2B5EF4-FFF2-40B4-BE49-F238E27FC236}">
              <a16:creationId xmlns:a16="http://schemas.microsoft.com/office/drawing/2014/main" id="{63E637C7-5071-4596-86DF-75E35B26DBD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59388B4-1C5A-42CA-A531-1A6A94F1384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0" name="Text Box 8">
          <a:extLst>
            <a:ext uri="{FF2B5EF4-FFF2-40B4-BE49-F238E27FC236}">
              <a16:creationId xmlns:a16="http://schemas.microsoft.com/office/drawing/2014/main" id="{13FBC5BD-CBB9-4A64-9F6B-2BA7E979CC4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1" name="Text Box 9">
          <a:extLst>
            <a:ext uri="{FF2B5EF4-FFF2-40B4-BE49-F238E27FC236}">
              <a16:creationId xmlns:a16="http://schemas.microsoft.com/office/drawing/2014/main" id="{1F7CAF9E-BB64-404C-AA3D-898FBD0CB28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4" name="Text Box 12">
          <a:extLst>
            <a:ext uri="{FF2B5EF4-FFF2-40B4-BE49-F238E27FC236}">
              <a16:creationId xmlns:a16="http://schemas.microsoft.com/office/drawing/2014/main" id="{4E33E883-0EF3-409F-B422-EE5A4C31658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5" name="Text Box 13">
          <a:extLst>
            <a:ext uri="{FF2B5EF4-FFF2-40B4-BE49-F238E27FC236}">
              <a16:creationId xmlns:a16="http://schemas.microsoft.com/office/drawing/2014/main" id="{B1B2FD6C-CB95-4D78-94FD-D80DD30D960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6" name="Text Box 14">
          <a:extLst>
            <a:ext uri="{FF2B5EF4-FFF2-40B4-BE49-F238E27FC236}">
              <a16:creationId xmlns:a16="http://schemas.microsoft.com/office/drawing/2014/main" id="{6D073CA2-264B-43E1-BC41-C0B753BD649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7" name="Text Box 15">
          <a:extLst>
            <a:ext uri="{FF2B5EF4-FFF2-40B4-BE49-F238E27FC236}">
              <a16:creationId xmlns:a16="http://schemas.microsoft.com/office/drawing/2014/main" id="{8F4EA1C1-D2F7-4940-B461-BF0BC43EC71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8" name="Text Box 16">
          <a:extLst>
            <a:ext uri="{FF2B5EF4-FFF2-40B4-BE49-F238E27FC236}">
              <a16:creationId xmlns:a16="http://schemas.microsoft.com/office/drawing/2014/main" id="{ACA10483-B7E8-4D13-9615-2711EA80914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9" name="Text Box 17">
          <a:extLst>
            <a:ext uri="{FF2B5EF4-FFF2-40B4-BE49-F238E27FC236}">
              <a16:creationId xmlns:a16="http://schemas.microsoft.com/office/drawing/2014/main" id="{988C1C47-6FEA-4FF2-A83A-D6E4E0103D0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0" name="Text Box 18">
          <a:extLst>
            <a:ext uri="{FF2B5EF4-FFF2-40B4-BE49-F238E27FC236}">
              <a16:creationId xmlns:a16="http://schemas.microsoft.com/office/drawing/2014/main" id="{295B976C-151A-4BED-87A9-674E8340E4F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1" name="Text Box 19">
          <a:extLst>
            <a:ext uri="{FF2B5EF4-FFF2-40B4-BE49-F238E27FC236}">
              <a16:creationId xmlns:a16="http://schemas.microsoft.com/office/drawing/2014/main" id="{600D21DB-E1A2-4C5B-BEEE-5B6EA7CC994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2" name="Text Box 20">
          <a:extLst>
            <a:ext uri="{FF2B5EF4-FFF2-40B4-BE49-F238E27FC236}">
              <a16:creationId xmlns:a16="http://schemas.microsoft.com/office/drawing/2014/main" id="{8E446068-438F-4F06-8A05-226EAD8C368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3" name="Text Box 21">
          <a:extLst>
            <a:ext uri="{FF2B5EF4-FFF2-40B4-BE49-F238E27FC236}">
              <a16:creationId xmlns:a16="http://schemas.microsoft.com/office/drawing/2014/main" id="{CBEE3EC6-C036-4DAA-9852-13B159D09DB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4" name="Text Box 22">
          <a:extLst>
            <a:ext uri="{FF2B5EF4-FFF2-40B4-BE49-F238E27FC236}">
              <a16:creationId xmlns:a16="http://schemas.microsoft.com/office/drawing/2014/main" id="{83D60C2C-38A1-43FC-ADDE-B5C1010531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5" name="Text Box 23">
          <a:extLst>
            <a:ext uri="{FF2B5EF4-FFF2-40B4-BE49-F238E27FC236}">
              <a16:creationId xmlns:a16="http://schemas.microsoft.com/office/drawing/2014/main" id="{FEC1E5DF-6F82-4CAA-803B-A39524A48A9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6" name="Text Box 24">
          <a:extLst>
            <a:ext uri="{FF2B5EF4-FFF2-40B4-BE49-F238E27FC236}">
              <a16:creationId xmlns:a16="http://schemas.microsoft.com/office/drawing/2014/main" id="{F2677AE7-C20E-45C8-B07D-6560EE0A580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7" name="Text Box 25">
          <a:extLst>
            <a:ext uri="{FF2B5EF4-FFF2-40B4-BE49-F238E27FC236}">
              <a16:creationId xmlns:a16="http://schemas.microsoft.com/office/drawing/2014/main" id="{CC70C27E-A267-405E-8485-36178AAC8C0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8" name="Text Box 26">
          <a:extLst>
            <a:ext uri="{FF2B5EF4-FFF2-40B4-BE49-F238E27FC236}">
              <a16:creationId xmlns:a16="http://schemas.microsoft.com/office/drawing/2014/main" id="{D42117F0-3560-4DD8-BFF3-3DDFFDE64BB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9" name="Text Box 27">
          <a:extLst>
            <a:ext uri="{FF2B5EF4-FFF2-40B4-BE49-F238E27FC236}">
              <a16:creationId xmlns:a16="http://schemas.microsoft.com/office/drawing/2014/main" id="{714B8150-39CD-4E8F-B322-C8276C1857A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0" name="Text Box 28">
          <a:extLst>
            <a:ext uri="{FF2B5EF4-FFF2-40B4-BE49-F238E27FC236}">
              <a16:creationId xmlns:a16="http://schemas.microsoft.com/office/drawing/2014/main" id="{347786E5-5907-4022-A2B3-83960004B0D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1" name="Text Box 29">
          <a:extLst>
            <a:ext uri="{FF2B5EF4-FFF2-40B4-BE49-F238E27FC236}">
              <a16:creationId xmlns:a16="http://schemas.microsoft.com/office/drawing/2014/main" id="{30691891-DB06-4D9E-B16D-0EB3ABD016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2" name="Text Box 30">
          <a:extLst>
            <a:ext uri="{FF2B5EF4-FFF2-40B4-BE49-F238E27FC236}">
              <a16:creationId xmlns:a16="http://schemas.microsoft.com/office/drawing/2014/main" id="{7F323E83-7BAD-4FF1-AEEA-7E29711B1BF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3" name="Text Box 31">
          <a:extLst>
            <a:ext uri="{FF2B5EF4-FFF2-40B4-BE49-F238E27FC236}">
              <a16:creationId xmlns:a16="http://schemas.microsoft.com/office/drawing/2014/main" id="{6724A99F-E040-43E3-802C-CA37BF5AD8E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5" name="Text Box 33">
          <a:extLst>
            <a:ext uri="{FF2B5EF4-FFF2-40B4-BE49-F238E27FC236}">
              <a16:creationId xmlns:a16="http://schemas.microsoft.com/office/drawing/2014/main" id="{35C78153-EDFF-41FF-9C2D-92F25820873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6" name="Text Box 34">
          <a:extLst>
            <a:ext uri="{FF2B5EF4-FFF2-40B4-BE49-F238E27FC236}">
              <a16:creationId xmlns:a16="http://schemas.microsoft.com/office/drawing/2014/main" id="{92A86886-7352-4FE5-BC24-87E47FAC669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7" name="Text Box 35">
          <a:extLst>
            <a:ext uri="{FF2B5EF4-FFF2-40B4-BE49-F238E27FC236}">
              <a16:creationId xmlns:a16="http://schemas.microsoft.com/office/drawing/2014/main" id="{C6A0018C-A0C3-450A-BCD9-18BC57EB7FF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8" name="Text Box 36">
          <a:extLst>
            <a:ext uri="{FF2B5EF4-FFF2-40B4-BE49-F238E27FC236}">
              <a16:creationId xmlns:a16="http://schemas.microsoft.com/office/drawing/2014/main" id="{85EFAAE5-33E9-4868-BD22-DF29CCA3778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9" name="Text Box 37">
          <a:extLst>
            <a:ext uri="{FF2B5EF4-FFF2-40B4-BE49-F238E27FC236}">
              <a16:creationId xmlns:a16="http://schemas.microsoft.com/office/drawing/2014/main" id="{D9B77496-2127-492C-9CE4-2B7FF2B47B8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0" name="Text Box 38">
          <a:extLst>
            <a:ext uri="{FF2B5EF4-FFF2-40B4-BE49-F238E27FC236}">
              <a16:creationId xmlns:a16="http://schemas.microsoft.com/office/drawing/2014/main" id="{B6FCC004-263C-4CE0-A813-243ABC0E4C2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1" name="Text Box 39">
          <a:extLst>
            <a:ext uri="{FF2B5EF4-FFF2-40B4-BE49-F238E27FC236}">
              <a16:creationId xmlns:a16="http://schemas.microsoft.com/office/drawing/2014/main" id="{D80D3B7D-041B-4829-A5A2-F872860E7B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2" name="Text Box 40">
          <a:extLst>
            <a:ext uri="{FF2B5EF4-FFF2-40B4-BE49-F238E27FC236}">
              <a16:creationId xmlns:a16="http://schemas.microsoft.com/office/drawing/2014/main" id="{6D42AA0E-0E5C-4AA4-98B2-E1AFA6A2F73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3" name="Text Box 41">
          <a:extLst>
            <a:ext uri="{FF2B5EF4-FFF2-40B4-BE49-F238E27FC236}">
              <a16:creationId xmlns:a16="http://schemas.microsoft.com/office/drawing/2014/main" id="{C17D5933-22FA-4177-B610-D2AA52802FA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4" name="Text Box 42">
          <a:extLst>
            <a:ext uri="{FF2B5EF4-FFF2-40B4-BE49-F238E27FC236}">
              <a16:creationId xmlns:a16="http://schemas.microsoft.com/office/drawing/2014/main" id="{21FCB36F-8D57-4594-BD9B-0649967BC52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5" name="Text Box 43">
          <a:extLst>
            <a:ext uri="{FF2B5EF4-FFF2-40B4-BE49-F238E27FC236}">
              <a16:creationId xmlns:a16="http://schemas.microsoft.com/office/drawing/2014/main" id="{D4B88F44-2E32-4B42-9C6E-D8EDA85665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6" name="Text Box 44">
          <a:extLst>
            <a:ext uri="{FF2B5EF4-FFF2-40B4-BE49-F238E27FC236}">
              <a16:creationId xmlns:a16="http://schemas.microsoft.com/office/drawing/2014/main" id="{C8640417-8388-4AE5-8A94-D969DB5D5E2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788715</xdr:colOff>
      <xdr:row>8</xdr:row>
      <xdr:rowOff>83205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FF853485-1185-4123-8495-5AF8B1E98E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476249</xdr:colOff>
      <xdr:row>2</xdr:row>
      <xdr:rowOff>128589</xdr:rowOff>
    </xdr:from>
    <xdr:to>
      <xdr:col>31</xdr:col>
      <xdr:colOff>342899</xdr:colOff>
      <xdr:row>7</xdr:row>
      <xdr:rowOff>157162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id="{B544FF62-5853-4AC9-95B7-3AF2980A3D64}"/>
            </a:ext>
          </a:extLst>
        </xdr:cNvPr>
        <xdr:cNvSpPr txBox="1">
          <a:spLocks noChangeArrowheads="1"/>
        </xdr:cNvSpPr>
      </xdr:nvSpPr>
      <xdr:spPr bwMode="auto">
        <a:xfrm>
          <a:off x="11887199" y="452439"/>
          <a:ext cx="5591175" cy="83819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lnSpc>
              <a:spcPts val="1100"/>
            </a:lnSpc>
            <a:defRPr sz="1000"/>
          </a:pPr>
          <a:endParaRPr lang="es-AR" sz="1200" b="1" i="0" u="none" strike="noStrike" baseline="0">
            <a:solidFill>
              <a:srgbClr val="000000"/>
            </a:solidFill>
            <a:latin typeface="Consolas" panose="020B0609020204030204" pitchFamily="49" charset="0"/>
          </a:endParaRPr>
        </a:p>
        <a:p>
          <a:pPr algn="ctr" rtl="0">
            <a:lnSpc>
              <a:spcPts val="1000"/>
            </a:lnSpc>
            <a:defRPr sz="1000"/>
          </a:pPr>
          <a:r>
            <a:rPr lang="es-AR" sz="16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DATOS MOVIMIENTO SECTOR PESQUERO AÑO 2024</a:t>
          </a:r>
        </a:p>
        <a:p>
          <a:pPr algn="ctr" rtl="0">
            <a:lnSpc>
              <a:spcPts val="1000"/>
            </a:lnSpc>
            <a:defRPr sz="1000"/>
          </a:pPr>
          <a:endParaRPr lang="es-AR" sz="1600" b="1" i="0" u="none" strike="noStrike" baseline="0">
            <a:solidFill>
              <a:srgbClr val="000080"/>
            </a:solidFill>
            <a:latin typeface="Consolas" panose="020B0609020204030204" pitchFamily="49" charset="0"/>
          </a:endParaRPr>
        </a:p>
        <a:p>
          <a:pPr algn="ctr" rtl="0">
            <a:lnSpc>
              <a:spcPts val="900"/>
            </a:lnSpc>
            <a:defRPr sz="1000"/>
          </a:pPr>
          <a:r>
            <a:rPr lang="es-AR" sz="16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COMPARATIVO TEMPORADAS ANTERIORES</a:t>
          </a:r>
        </a:p>
        <a:p>
          <a:pPr algn="ctr" rtl="0">
            <a:lnSpc>
              <a:spcPts val="11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26</xdr:col>
      <xdr:colOff>22783</xdr:colOff>
      <xdr:row>29</xdr:row>
      <xdr:rowOff>111045</xdr:rowOff>
    </xdr:from>
    <xdr:to>
      <xdr:col>52</xdr:col>
      <xdr:colOff>160367</xdr:colOff>
      <xdr:row>65</xdr:row>
      <xdr:rowOff>160387</xdr:rowOff>
    </xdr:to>
    <xdr:graphicFrame macro="">
      <xdr:nvGraphicFramePr>
        <xdr:cNvPr id="44" name="Chart 11">
          <a:extLst>
            <a:ext uri="{FF2B5EF4-FFF2-40B4-BE49-F238E27FC236}">
              <a16:creationId xmlns:a16="http://schemas.microsoft.com/office/drawing/2014/main" id="{C9D3E748-2415-4F26-870F-C485A0F5C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16</xdr:col>
      <xdr:colOff>182697</xdr:colOff>
      <xdr:row>25</xdr:row>
      <xdr:rowOff>45966</xdr:rowOff>
    </xdr:from>
    <xdr:to>
      <xdr:col>26</xdr:col>
      <xdr:colOff>451340</xdr:colOff>
      <xdr:row>54</xdr:row>
      <xdr:rowOff>24909</xdr:rowOff>
    </xdr:to>
    <xdr:graphicFrame macro="">
      <xdr:nvGraphicFramePr>
        <xdr:cNvPr id="1973272" name="Chart 13">
          <a:extLst>
            <a:ext uri="{FF2B5EF4-FFF2-40B4-BE49-F238E27FC236}">
              <a16:creationId xmlns:a16="http://schemas.microsoft.com/office/drawing/2014/main" id="{DD5807C9-89AC-49B6-A988-C586C6086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47625</xdr:colOff>
      <xdr:row>0</xdr:row>
      <xdr:rowOff>66675</xdr:rowOff>
    </xdr:from>
    <xdr:to>
      <xdr:col>3</xdr:col>
      <xdr:colOff>464865</xdr:colOff>
      <xdr:row>8</xdr:row>
      <xdr:rowOff>64155</xdr:rowOff>
    </xdr:to>
    <xdr:pic>
      <xdr:nvPicPr>
        <xdr:cNvPr id="4" name="Imagen 11" descr="Logotipo&#10;&#10;Descripción generada automáticamente">
          <a:extLst>
            <a:ext uri="{FF2B5EF4-FFF2-40B4-BE49-F238E27FC236}">
              <a16:creationId xmlns:a16="http://schemas.microsoft.com/office/drawing/2014/main" id="{7DACEE53-CA0C-4AA7-BE38-48E45D6A9469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47625" y="6667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0.28955</cdr:x>
      <cdr:y>0.02509</cdr:y>
    </cdr:from>
    <cdr:to>
      <cdr:x>0.71045</cdr:x>
      <cdr:y>0.10503</cdr:y>
    </cdr:to>
    <cdr:sp macro="" textlink="">
      <cdr:nvSpPr>
        <cdr:cNvPr id="80897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2031" y="164463"/>
          <a:ext cx="5686621" cy="5239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1600" b="1" i="0" u="none" strike="noStrike" baseline="0">
              <a:solidFill>
                <a:srgbClr val="002060"/>
              </a:solidFill>
              <a:latin typeface="Consolas" panose="020B0609020204030204" pitchFamily="49" charset="0"/>
            </a:rPr>
            <a:t>Movimiento Sector Pesquero - 1983 a 2024 en Tn</a:t>
          </a:r>
        </a:p>
        <a:p xmlns:a="http://schemas.openxmlformats.org/drawingml/2006/main">
          <a:pPr algn="ctr" rtl="0">
            <a:defRPr sz="1000"/>
          </a:pPr>
          <a:r>
            <a:rPr lang="es-AR" sz="1000" b="1" i="0" u="none" strike="noStrike" baseline="0">
              <a:solidFill>
                <a:srgbClr val="666699"/>
              </a:solidFill>
              <a:latin typeface="+mn-lt"/>
            </a:rPr>
            <a:t>Fuente: 1983 a 1997  CO.D.E.PO. - Mtrio. Economía Pcia. de Río Negro (1983 a 1985 no hubo movimiento)</a:t>
          </a:r>
          <a:r>
            <a:rPr lang="es-AR" sz="1600" b="1" i="0" u="none" strike="noStrike" baseline="0">
              <a:solidFill>
                <a:srgbClr val="666699"/>
              </a:solidFill>
              <a:latin typeface="+mn-lt"/>
            </a:rPr>
            <a:t>.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0.31747</cdr:x>
      <cdr:y>0.19943</cdr:y>
    </cdr:from>
    <cdr:to>
      <cdr:x>0.8019</cdr:x>
      <cdr:y>0.24663</cdr:y>
    </cdr:to>
    <cdr:sp macro="" textlink="">
      <cdr:nvSpPr>
        <cdr:cNvPr id="819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8214" y="1112741"/>
          <a:ext cx="2621808" cy="2633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AR" sz="1600" b="1" i="0" u="none" strike="noStrike" baseline="0">
              <a:solidFill>
                <a:srgbClr val="002060"/>
              </a:solidFill>
              <a:latin typeface="Consolas" panose="020B0609020204030204" pitchFamily="49" charset="0"/>
              <a:ea typeface="+mn-ea"/>
              <a:cs typeface="+mn-cs"/>
            </a:rPr>
            <a:t>Movimiento 2024 en Kgs</a:t>
          </a:r>
          <a:r>
            <a:rPr lang="es-AR" sz="1600" b="1" i="0" u="none" strike="noStrike" baseline="0">
              <a:solidFill>
                <a:srgbClr val="002060"/>
              </a:solidFill>
              <a:latin typeface="Consolas" panose="020B0609020204030204" pitchFamily="49" charset="0"/>
            </a:rPr>
            <a:t>.</a:t>
          </a:r>
        </a:p>
      </cdr:txBody>
    </cdr:sp>
  </cdr:relSizeAnchor>
  <cdr:relSizeAnchor xmlns:cdr="http://schemas.openxmlformats.org/drawingml/2006/chartDrawing">
    <cdr:from>
      <cdr:x>0.01054</cdr:x>
      <cdr:y>0.39778</cdr:y>
    </cdr:from>
    <cdr:to>
      <cdr:x>0.20497</cdr:x>
      <cdr:y>0.49998</cdr:y>
    </cdr:to>
    <cdr:sp macro="" textlink="">
      <cdr:nvSpPr>
        <cdr:cNvPr id="819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960" y="2206147"/>
          <a:ext cx="1050431" cy="5668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TRASBORDO A MERCANTE</a:t>
          </a:r>
        </a:p>
      </cdr:txBody>
    </cdr:sp>
  </cdr:relSizeAnchor>
  <cdr:relSizeAnchor xmlns:cdr="http://schemas.openxmlformats.org/drawingml/2006/chartDrawing">
    <cdr:from>
      <cdr:x>0.00901</cdr:x>
      <cdr:y>0.48588</cdr:y>
    </cdr:from>
    <cdr:to>
      <cdr:x>0.20074</cdr:x>
      <cdr:y>0.58834</cdr:y>
    </cdr:to>
    <cdr:sp macro="" textlink="">
      <cdr:nvSpPr>
        <cdr:cNvPr id="819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8" y="2694734"/>
          <a:ext cx="1035844" cy="5682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CALAMAR PLANTA PROC.</a:t>
          </a:r>
        </a:p>
      </cdr:txBody>
    </cdr:sp>
  </cdr:relSizeAnchor>
  <cdr:relSizeAnchor xmlns:cdr="http://schemas.openxmlformats.org/drawingml/2006/chartDrawing">
    <cdr:from>
      <cdr:x>0.00594</cdr:x>
      <cdr:y>0.60708</cdr:y>
    </cdr:from>
    <cdr:to>
      <cdr:x>0.21486</cdr:x>
      <cdr:y>0.71052</cdr:y>
    </cdr:to>
    <cdr:sp macro="" textlink="">
      <cdr:nvSpPr>
        <cdr:cNvPr id="819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13" y="3366936"/>
          <a:ext cx="1128715" cy="5736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PLANTA PROCESADORA</a:t>
          </a:r>
        </a:p>
      </cdr:txBody>
    </cdr:sp>
  </cdr:relSizeAnchor>
  <cdr:relSizeAnchor xmlns:cdr="http://schemas.openxmlformats.org/drawingml/2006/chartDrawing">
    <cdr:from>
      <cdr:x>0.01974</cdr:x>
      <cdr:y>0.72652</cdr:y>
    </cdr:from>
    <cdr:to>
      <cdr:x>0.21073</cdr:x>
      <cdr:y>0.79475</cdr:y>
    </cdr:to>
    <cdr:sp macro="" textlink="">
      <cdr:nvSpPr>
        <cdr:cNvPr id="81925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656" y="4029361"/>
          <a:ext cx="1031846" cy="3784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URUGUAY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47625</xdr:rowOff>
    </xdr:from>
    <xdr:to>
      <xdr:col>3</xdr:col>
      <xdr:colOff>760140</xdr:colOff>
      <xdr:row>8</xdr:row>
      <xdr:rowOff>7005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A7C0C4B4-1950-4BC3-B778-1D934FD7EFA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3318" name="Text Box 6">
          <a:extLst>
            <a:ext uri="{FF2B5EF4-FFF2-40B4-BE49-F238E27FC236}">
              <a16:creationId xmlns:a16="http://schemas.microsoft.com/office/drawing/2014/main" id="{E9F088AC-18F1-4A9F-9DC3-F0905D2D117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3319" name="Text Box 7">
          <a:extLst>
            <a:ext uri="{FF2B5EF4-FFF2-40B4-BE49-F238E27FC236}">
              <a16:creationId xmlns:a16="http://schemas.microsoft.com/office/drawing/2014/main" id="{1CDACFB3-80E6-48CC-B0C6-21DD46E7416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47625</xdr:rowOff>
    </xdr:from>
    <xdr:to>
      <xdr:col>3</xdr:col>
      <xdr:colOff>769665</xdr:colOff>
      <xdr:row>8</xdr:row>
      <xdr:rowOff>7005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2329FBF0-D18F-4383-B16E-D93C4063953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5" name="Text Box 9">
          <a:extLst>
            <a:ext uri="{FF2B5EF4-FFF2-40B4-BE49-F238E27FC236}">
              <a16:creationId xmlns:a16="http://schemas.microsoft.com/office/drawing/2014/main" id="{52B48A30-8883-4C32-A4FC-77CE4F51FD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6" name="Text Box 10">
          <a:extLst>
            <a:ext uri="{FF2B5EF4-FFF2-40B4-BE49-F238E27FC236}">
              <a16:creationId xmlns:a16="http://schemas.microsoft.com/office/drawing/2014/main" id="{EE776EF8-B8BD-45E1-AA78-D4CDA8985D5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7" name="Text Box 11">
          <a:extLst>
            <a:ext uri="{FF2B5EF4-FFF2-40B4-BE49-F238E27FC236}">
              <a16:creationId xmlns:a16="http://schemas.microsoft.com/office/drawing/2014/main" id="{4AED5420-DFD2-4F42-A088-3F7C800A6A1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8" name="Text Box 12">
          <a:extLst>
            <a:ext uri="{FF2B5EF4-FFF2-40B4-BE49-F238E27FC236}">
              <a16:creationId xmlns:a16="http://schemas.microsoft.com/office/drawing/2014/main" id="{6A84083F-1012-4089-B8B4-DCF8DE3530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47625</xdr:rowOff>
    </xdr:from>
    <xdr:to>
      <xdr:col>3</xdr:col>
      <xdr:colOff>769665</xdr:colOff>
      <xdr:row>8</xdr:row>
      <xdr:rowOff>7005</xdr:rowOff>
    </xdr:to>
    <xdr:pic>
      <xdr:nvPicPr>
        <xdr:cNvPr id="3" name="Imagen 11" descr="Logotipo&#10;&#10;Descripción generada automáticamente">
          <a:extLst>
            <a:ext uri="{FF2B5EF4-FFF2-40B4-BE49-F238E27FC236}">
              <a16:creationId xmlns:a16="http://schemas.microsoft.com/office/drawing/2014/main" id="{2A05DAB9-159C-4E92-91C6-FDB9299A451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0" name="Text Box 10">
          <a:extLst>
            <a:ext uri="{FF2B5EF4-FFF2-40B4-BE49-F238E27FC236}">
              <a16:creationId xmlns:a16="http://schemas.microsoft.com/office/drawing/2014/main" id="{F1A8933E-02FA-4E05-81B3-DF588BDB611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1" name="Text Box 11">
          <a:extLst>
            <a:ext uri="{FF2B5EF4-FFF2-40B4-BE49-F238E27FC236}">
              <a16:creationId xmlns:a16="http://schemas.microsoft.com/office/drawing/2014/main" id="{A02F5CE3-764F-4BFB-AB39-C826C746A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4" name="Text Box 14">
          <a:extLst>
            <a:ext uri="{FF2B5EF4-FFF2-40B4-BE49-F238E27FC236}">
              <a16:creationId xmlns:a16="http://schemas.microsoft.com/office/drawing/2014/main" id="{CB8E3A5B-4545-4520-90EE-21E8D63F86F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5" name="Text Box 15">
          <a:extLst>
            <a:ext uri="{FF2B5EF4-FFF2-40B4-BE49-F238E27FC236}">
              <a16:creationId xmlns:a16="http://schemas.microsoft.com/office/drawing/2014/main" id="{E2BE814E-5E2E-4AEE-8959-D2837744073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6" name="Text Box 16">
          <a:extLst>
            <a:ext uri="{FF2B5EF4-FFF2-40B4-BE49-F238E27FC236}">
              <a16:creationId xmlns:a16="http://schemas.microsoft.com/office/drawing/2014/main" id="{793C1165-635B-4875-B91C-754FFC6A454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7" name="Text Box 17">
          <a:extLst>
            <a:ext uri="{FF2B5EF4-FFF2-40B4-BE49-F238E27FC236}">
              <a16:creationId xmlns:a16="http://schemas.microsoft.com/office/drawing/2014/main" id="{2007BF32-1837-4E08-8B61-A6A141AAB18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7005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98250A82-4663-4E0B-BCE9-BDB1DA37C3B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4" name="Text Box 10">
          <a:extLst>
            <a:ext uri="{FF2B5EF4-FFF2-40B4-BE49-F238E27FC236}">
              <a16:creationId xmlns:a16="http://schemas.microsoft.com/office/drawing/2014/main" id="{FA014022-D133-4F8D-A3E3-A1D72D79981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5" name="Text Box 11">
          <a:extLst>
            <a:ext uri="{FF2B5EF4-FFF2-40B4-BE49-F238E27FC236}">
              <a16:creationId xmlns:a16="http://schemas.microsoft.com/office/drawing/2014/main" id="{209F86F5-68FB-4AB0-94A9-8DCDE27E045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7" name="Text Box 13">
          <a:extLst>
            <a:ext uri="{FF2B5EF4-FFF2-40B4-BE49-F238E27FC236}">
              <a16:creationId xmlns:a16="http://schemas.microsoft.com/office/drawing/2014/main" id="{0DEDDA0D-8128-41EA-B563-6184ECEE432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8" name="Text Box 14">
          <a:extLst>
            <a:ext uri="{FF2B5EF4-FFF2-40B4-BE49-F238E27FC236}">
              <a16:creationId xmlns:a16="http://schemas.microsoft.com/office/drawing/2014/main" id="{6B811249-A445-4CC2-A390-55692FA4E08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0" name="Text Box 16">
          <a:extLst>
            <a:ext uri="{FF2B5EF4-FFF2-40B4-BE49-F238E27FC236}">
              <a16:creationId xmlns:a16="http://schemas.microsoft.com/office/drawing/2014/main" id="{2CB44F1D-DCEA-48BD-AADF-26F5FD856E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1" name="Text Box 17">
          <a:extLst>
            <a:ext uri="{FF2B5EF4-FFF2-40B4-BE49-F238E27FC236}">
              <a16:creationId xmlns:a16="http://schemas.microsoft.com/office/drawing/2014/main" id="{2857B385-11B5-4D55-87FD-698C9B1DE7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2" name="Text Box 18">
          <a:extLst>
            <a:ext uri="{FF2B5EF4-FFF2-40B4-BE49-F238E27FC236}">
              <a16:creationId xmlns:a16="http://schemas.microsoft.com/office/drawing/2014/main" id="{37E185D3-CDB6-451F-8FFE-821F4DEF9E2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3" name="Text Box 19">
          <a:extLst>
            <a:ext uri="{FF2B5EF4-FFF2-40B4-BE49-F238E27FC236}">
              <a16:creationId xmlns:a16="http://schemas.microsoft.com/office/drawing/2014/main" id="{EBF06697-BB58-43B8-9197-F198796D936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788715</xdr:colOff>
      <xdr:row>8</xdr:row>
      <xdr:rowOff>16530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1DACEB2E-9C4F-4F9A-B307-898215D7002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5" name="Text Box 7">
          <a:extLst>
            <a:ext uri="{FF2B5EF4-FFF2-40B4-BE49-F238E27FC236}">
              <a16:creationId xmlns:a16="http://schemas.microsoft.com/office/drawing/2014/main" id="{51160DC1-5347-4456-87E0-D6B91845201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16" name="Text Box 8">
          <a:extLst>
            <a:ext uri="{FF2B5EF4-FFF2-40B4-BE49-F238E27FC236}">
              <a16:creationId xmlns:a16="http://schemas.microsoft.com/office/drawing/2014/main" id="{CD80BE85-3524-40F1-B04B-576C544F65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9" name="Text Box 11">
          <a:extLst>
            <a:ext uri="{FF2B5EF4-FFF2-40B4-BE49-F238E27FC236}">
              <a16:creationId xmlns:a16="http://schemas.microsoft.com/office/drawing/2014/main" id="{93DE46A4-B7C1-4C1F-B2A7-7F25E01B605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0" name="Text Box 12">
          <a:extLst>
            <a:ext uri="{FF2B5EF4-FFF2-40B4-BE49-F238E27FC236}">
              <a16:creationId xmlns:a16="http://schemas.microsoft.com/office/drawing/2014/main" id="{115FC4E9-F8F1-47D0-8741-57EF7AE543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1" name="Text Box 13">
          <a:extLst>
            <a:ext uri="{FF2B5EF4-FFF2-40B4-BE49-F238E27FC236}">
              <a16:creationId xmlns:a16="http://schemas.microsoft.com/office/drawing/2014/main" id="{10561A73-E200-40B4-B363-B6685012649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2" name="Text Box 14">
          <a:extLst>
            <a:ext uri="{FF2B5EF4-FFF2-40B4-BE49-F238E27FC236}">
              <a16:creationId xmlns:a16="http://schemas.microsoft.com/office/drawing/2014/main" id="{86867E8A-F95D-4412-8F3D-C6A0A6D596A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3" name="Text Box 15">
          <a:extLst>
            <a:ext uri="{FF2B5EF4-FFF2-40B4-BE49-F238E27FC236}">
              <a16:creationId xmlns:a16="http://schemas.microsoft.com/office/drawing/2014/main" id="{F5691245-4654-4390-9C9C-ADD50642437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4" name="Text Box 16">
          <a:extLst>
            <a:ext uri="{FF2B5EF4-FFF2-40B4-BE49-F238E27FC236}">
              <a16:creationId xmlns:a16="http://schemas.microsoft.com/office/drawing/2014/main" id="{9A2E983A-24C6-4FC6-9EDD-FAAD7798C7D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5" name="Text Box 17">
          <a:extLst>
            <a:ext uri="{FF2B5EF4-FFF2-40B4-BE49-F238E27FC236}">
              <a16:creationId xmlns:a16="http://schemas.microsoft.com/office/drawing/2014/main" id="{D7A50633-6238-4693-8A99-C3E7DC51299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6" name="Text Box 18">
          <a:extLst>
            <a:ext uri="{FF2B5EF4-FFF2-40B4-BE49-F238E27FC236}">
              <a16:creationId xmlns:a16="http://schemas.microsoft.com/office/drawing/2014/main" id="{25D6A79D-5EBD-4155-A3D4-30CB5343635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788715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DF538535-0885-43FD-8CBA-565FAEC6C4E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</xdr:row>
      <xdr:rowOff>85725</xdr:rowOff>
    </xdr:from>
    <xdr:to>
      <xdr:col>8</xdr:col>
      <xdr:colOff>552450</xdr:colOff>
      <xdr:row>7</xdr:row>
      <xdr:rowOff>144780</xdr:rowOff>
    </xdr:to>
    <xdr:sp macro="" textlink="">
      <xdr:nvSpPr>
        <xdr:cNvPr id="24579" name="Text Box 3">
          <a:extLst>
            <a:ext uri="{FF2B5EF4-FFF2-40B4-BE49-F238E27FC236}">
              <a16:creationId xmlns:a16="http://schemas.microsoft.com/office/drawing/2014/main" id="{A359701F-D43C-45E0-81B8-28CEA7A8C398}"/>
            </a:ext>
          </a:extLst>
        </xdr:cNvPr>
        <xdr:cNvSpPr txBox="1">
          <a:spLocks noChangeArrowheads="1"/>
        </xdr:cNvSpPr>
      </xdr:nvSpPr>
      <xdr:spPr bwMode="auto">
        <a:xfrm>
          <a:off x="2146935" y="390525"/>
          <a:ext cx="4021455" cy="82105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400" b="1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DATOS ESTADÍSTICOS SECTOR PESQUERO </a:t>
          </a: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PRIMER SEMESTRE AÑO 2024</a:t>
          </a: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493440</xdr:colOff>
      <xdr:row>8</xdr:row>
      <xdr:rowOff>121305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5CA8C973-1205-4815-81A1-B80C12C55D8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0" name="Text Box 8">
          <a:extLst>
            <a:ext uri="{FF2B5EF4-FFF2-40B4-BE49-F238E27FC236}">
              <a16:creationId xmlns:a16="http://schemas.microsoft.com/office/drawing/2014/main" id="{F6E6E22E-C35E-4C8B-94F2-4032E642399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1" name="Text Box 9">
          <a:extLst>
            <a:ext uri="{FF2B5EF4-FFF2-40B4-BE49-F238E27FC236}">
              <a16:creationId xmlns:a16="http://schemas.microsoft.com/office/drawing/2014/main" id="{B3091F10-14A6-4640-A995-380000F8AFD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5" name="Text Box 13">
          <a:extLst>
            <a:ext uri="{FF2B5EF4-FFF2-40B4-BE49-F238E27FC236}">
              <a16:creationId xmlns:a16="http://schemas.microsoft.com/office/drawing/2014/main" id="{F52AA50E-7468-4EA4-A5B7-40A0FAE1C5B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6" name="Text Box 14">
          <a:extLst>
            <a:ext uri="{FF2B5EF4-FFF2-40B4-BE49-F238E27FC236}">
              <a16:creationId xmlns:a16="http://schemas.microsoft.com/office/drawing/2014/main" id="{91671031-9264-4B7D-896A-8F4F8AEEF24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7" name="Text Box 15">
          <a:extLst>
            <a:ext uri="{FF2B5EF4-FFF2-40B4-BE49-F238E27FC236}">
              <a16:creationId xmlns:a16="http://schemas.microsoft.com/office/drawing/2014/main" id="{99F97F00-D021-45DA-8425-BAC10D1F114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8" name="Text Box 16">
          <a:extLst>
            <a:ext uri="{FF2B5EF4-FFF2-40B4-BE49-F238E27FC236}">
              <a16:creationId xmlns:a16="http://schemas.microsoft.com/office/drawing/2014/main" id="{D5D83973-9DE3-470C-9212-56EAC89F050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9" name="Text Box 17">
          <a:extLst>
            <a:ext uri="{FF2B5EF4-FFF2-40B4-BE49-F238E27FC236}">
              <a16:creationId xmlns:a16="http://schemas.microsoft.com/office/drawing/2014/main" id="{D9626ECE-D8A0-4F01-B8DB-2787ED24E9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0" name="Text Box 18">
          <a:extLst>
            <a:ext uri="{FF2B5EF4-FFF2-40B4-BE49-F238E27FC236}">
              <a16:creationId xmlns:a16="http://schemas.microsoft.com/office/drawing/2014/main" id="{5447F5E8-D72C-47AE-A5F8-7A63F7095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1" name="Text Box 19">
          <a:extLst>
            <a:ext uri="{FF2B5EF4-FFF2-40B4-BE49-F238E27FC236}">
              <a16:creationId xmlns:a16="http://schemas.microsoft.com/office/drawing/2014/main" id="{ECB09AAD-ADF7-4B38-8130-D83F1D0D2F6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2" name="Text Box 20">
          <a:extLst>
            <a:ext uri="{FF2B5EF4-FFF2-40B4-BE49-F238E27FC236}">
              <a16:creationId xmlns:a16="http://schemas.microsoft.com/office/drawing/2014/main" id="{8B615B1E-A100-4FE6-B819-276C513AD15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3" name="Text Box 21">
          <a:extLst>
            <a:ext uri="{FF2B5EF4-FFF2-40B4-BE49-F238E27FC236}">
              <a16:creationId xmlns:a16="http://schemas.microsoft.com/office/drawing/2014/main" id="{6CF882B4-A816-433E-9177-5607E105B83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4" name="Text Box 22">
          <a:extLst>
            <a:ext uri="{FF2B5EF4-FFF2-40B4-BE49-F238E27FC236}">
              <a16:creationId xmlns:a16="http://schemas.microsoft.com/office/drawing/2014/main" id="{9190F846-F073-49E4-A0D9-1442CE81DA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71D426C-61D6-46C7-8162-D44ADBA2F31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I67"/>
  <sheetViews>
    <sheetView showGridLines="0" zoomScaleNormal="75" zoomScaleSheetLayoutView="100" workbookViewId="0">
      <selection activeCell="K22" sqref="K22"/>
    </sheetView>
  </sheetViews>
  <sheetFormatPr defaultColWidth="9.140625" defaultRowHeight="12.75"/>
  <cols>
    <col min="1" max="1" width="4.28515625" customWidth="1"/>
    <col min="2" max="6" width="12.42578125" customWidth="1"/>
    <col min="7" max="256" width="11.42578125" customWidth="1"/>
  </cols>
  <sheetData>
    <row r="1" spans="1:9">
      <c r="A1" s="2"/>
      <c r="B1" s="3"/>
      <c r="C1" s="3"/>
      <c r="D1" s="3"/>
      <c r="E1" s="3"/>
      <c r="F1" s="3"/>
      <c r="G1" s="3"/>
      <c r="H1" s="3"/>
      <c r="I1" s="3"/>
    </row>
    <row r="2" spans="1:9">
      <c r="A2" s="4"/>
      <c r="B2" s="2"/>
      <c r="C2" s="2"/>
      <c r="D2" s="2"/>
      <c r="E2" s="2"/>
      <c r="F2" s="2"/>
      <c r="G2" s="2"/>
      <c r="H2" s="2"/>
      <c r="I2" s="2"/>
    </row>
    <row r="3" spans="1:9">
      <c r="A3" s="4"/>
      <c r="B3" s="2"/>
      <c r="C3" s="2"/>
      <c r="D3" s="2"/>
      <c r="E3" s="2"/>
      <c r="F3" s="2"/>
      <c r="G3" s="2"/>
      <c r="H3" s="2"/>
      <c r="I3" s="2"/>
    </row>
    <row r="4" spans="1:9">
      <c r="A4" s="5"/>
      <c r="B4" s="2"/>
      <c r="C4" s="2"/>
      <c r="D4" s="2"/>
      <c r="E4" s="2"/>
      <c r="F4" s="2"/>
      <c r="G4" s="2"/>
      <c r="H4" s="2"/>
      <c r="I4" s="2"/>
    </row>
    <row r="5" spans="1:9">
      <c r="A5" s="4"/>
      <c r="B5" s="2"/>
      <c r="C5" s="2"/>
      <c r="D5" s="2"/>
      <c r="E5" s="2"/>
      <c r="F5" s="2"/>
      <c r="G5" s="2"/>
      <c r="H5" s="2"/>
      <c r="I5" s="2"/>
    </row>
    <row r="6" spans="1:9">
      <c r="A6" s="5"/>
      <c r="B6" s="2"/>
      <c r="C6" s="2"/>
      <c r="D6" s="2"/>
      <c r="E6" s="2"/>
      <c r="F6" s="2"/>
      <c r="G6" s="2"/>
      <c r="H6" s="2"/>
      <c r="I6" s="2"/>
    </row>
    <row r="7" spans="1:9">
      <c r="A7" s="5"/>
      <c r="B7" s="2"/>
      <c r="C7" s="2"/>
      <c r="D7" s="2"/>
      <c r="E7" s="2"/>
      <c r="F7" s="2"/>
      <c r="G7" s="2"/>
      <c r="H7" s="2"/>
      <c r="I7" s="2"/>
    </row>
    <row r="8" spans="1:9">
      <c r="A8" s="5"/>
      <c r="B8" s="2"/>
      <c r="C8" s="2"/>
      <c r="D8" s="2"/>
      <c r="E8" s="2"/>
      <c r="F8" s="2"/>
      <c r="G8" s="2"/>
      <c r="H8" s="2"/>
      <c r="I8" s="2"/>
    </row>
    <row r="9" spans="1:9">
      <c r="A9" s="6"/>
      <c r="B9" s="7"/>
      <c r="C9" s="7"/>
      <c r="D9" s="6"/>
      <c r="E9" s="7"/>
      <c r="F9" s="7"/>
      <c r="G9" s="7"/>
      <c r="H9" s="6"/>
      <c r="I9" s="6"/>
    </row>
    <row r="10" spans="1:9">
      <c r="A10" s="27"/>
      <c r="B10" s="8"/>
      <c r="C10" s="8"/>
      <c r="D10" s="8"/>
      <c r="E10" s="8"/>
      <c r="F10" s="6"/>
      <c r="G10" s="6"/>
      <c r="H10" s="6"/>
      <c r="I10" s="6"/>
    </row>
    <row r="11" spans="1:9">
      <c r="A11" s="27"/>
      <c r="B11" s="9"/>
      <c r="C11" s="6"/>
      <c r="D11" s="28"/>
      <c r="E11" s="6"/>
      <c r="F11" s="6"/>
      <c r="G11" s="6"/>
      <c r="H11" s="6"/>
      <c r="I11" s="6"/>
    </row>
    <row r="12" spans="1:9">
      <c r="A12" s="27"/>
      <c r="B12" s="9"/>
      <c r="C12" s="6"/>
      <c r="D12" s="28"/>
      <c r="E12" s="6"/>
      <c r="F12" s="6"/>
      <c r="G12" s="6"/>
      <c r="H12" s="6"/>
      <c r="I12" s="6"/>
    </row>
    <row r="13" spans="1:9">
      <c r="A13" s="27"/>
      <c r="B13" s="9"/>
      <c r="C13" s="6"/>
      <c r="D13" s="28"/>
      <c r="E13" s="6"/>
      <c r="F13" s="6"/>
      <c r="G13" s="6"/>
      <c r="H13" s="6"/>
      <c r="I13" s="6"/>
    </row>
    <row r="14" spans="1:9">
      <c r="A14" s="27"/>
      <c r="B14" s="9"/>
      <c r="C14" s="6"/>
      <c r="D14" s="28"/>
      <c r="E14" s="6"/>
      <c r="F14" s="6"/>
      <c r="G14" s="6"/>
      <c r="H14" s="6"/>
      <c r="I14" s="6"/>
    </row>
    <row r="15" spans="1:9">
      <c r="A15" s="27"/>
      <c r="B15" s="9"/>
      <c r="C15" s="6"/>
      <c r="D15" s="28"/>
      <c r="E15" s="6"/>
      <c r="F15" s="6"/>
      <c r="G15" s="6"/>
      <c r="H15" s="6"/>
      <c r="I15" s="6"/>
    </row>
    <row r="16" spans="1:9" ht="15.75">
      <c r="A16" s="27"/>
      <c r="B16" s="9"/>
      <c r="C16" s="6"/>
      <c r="D16" s="301" t="s">
        <v>0</v>
      </c>
      <c r="E16" s="301"/>
      <c r="F16" s="38">
        <v>2024</v>
      </c>
      <c r="G16" s="26"/>
      <c r="H16" s="6"/>
      <c r="I16" s="6"/>
    </row>
    <row r="17" spans="1:9">
      <c r="A17" s="27"/>
      <c r="B17" s="9"/>
      <c r="C17" s="6"/>
      <c r="D17" s="2"/>
      <c r="E17" s="2"/>
      <c r="F17" s="6"/>
      <c r="G17" s="6" t="s">
        <v>1</v>
      </c>
      <c r="H17" s="6"/>
      <c r="I17" s="6"/>
    </row>
    <row r="18" spans="1:9">
      <c r="A18" s="27"/>
      <c r="B18" s="9"/>
      <c r="C18" s="6"/>
      <c r="D18" s="28"/>
      <c r="E18" s="6"/>
      <c r="F18" s="6"/>
      <c r="G18" s="6"/>
      <c r="H18" s="6"/>
      <c r="I18" s="6"/>
    </row>
    <row r="19" spans="1:9">
      <c r="A19" s="27"/>
      <c r="B19" s="9"/>
      <c r="C19" s="6"/>
      <c r="D19" s="28"/>
      <c r="E19" s="6"/>
      <c r="F19" s="6"/>
      <c r="G19" s="6"/>
      <c r="H19" s="6"/>
      <c r="I19" s="6"/>
    </row>
    <row r="20" spans="1:9">
      <c r="A20" s="27"/>
      <c r="B20" s="9"/>
      <c r="C20" s="6"/>
      <c r="D20" s="28"/>
      <c r="E20" s="6"/>
      <c r="F20" s="6"/>
      <c r="G20" s="6"/>
      <c r="H20" s="6"/>
      <c r="I20" s="6"/>
    </row>
    <row r="21" spans="1:9">
      <c r="A21" s="27"/>
      <c r="B21" s="9"/>
      <c r="C21" s="6"/>
      <c r="D21" s="28"/>
      <c r="E21" s="6"/>
      <c r="F21" s="6"/>
      <c r="G21" s="6"/>
      <c r="H21" s="6"/>
      <c r="I21" s="6"/>
    </row>
    <row r="22" spans="1:9">
      <c r="A22" s="27"/>
      <c r="B22" s="9"/>
      <c r="C22" s="6"/>
      <c r="D22" s="28"/>
      <c r="E22" s="6"/>
      <c r="F22" s="6"/>
      <c r="G22" s="6"/>
      <c r="H22" s="6"/>
      <c r="I22" s="6"/>
    </row>
    <row r="23" spans="1:9">
      <c r="A23" s="27"/>
      <c r="B23" s="9"/>
      <c r="C23" s="6"/>
      <c r="D23" s="28"/>
      <c r="E23" s="6"/>
      <c r="F23" s="6"/>
      <c r="G23" s="6"/>
      <c r="H23" s="6"/>
      <c r="I23" s="6"/>
    </row>
    <row r="24" spans="1:9">
      <c r="A24" s="27"/>
      <c r="B24" s="9"/>
      <c r="C24" s="6"/>
      <c r="D24" s="28"/>
      <c r="E24" s="6"/>
      <c r="F24" s="6"/>
      <c r="G24" s="6"/>
      <c r="H24" s="6"/>
      <c r="I24" s="6"/>
    </row>
    <row r="25" spans="1:9">
      <c r="A25" s="27"/>
      <c r="B25" s="9"/>
      <c r="C25" s="6"/>
      <c r="D25" s="28"/>
      <c r="E25" s="6"/>
      <c r="F25" s="6"/>
      <c r="G25" s="6"/>
      <c r="H25" s="6"/>
      <c r="I25" s="6"/>
    </row>
    <row r="26" spans="1:9">
      <c r="A26" s="27"/>
      <c r="B26" s="9"/>
      <c r="C26" s="6"/>
      <c r="D26" s="28"/>
      <c r="E26" s="6"/>
      <c r="F26" s="6"/>
      <c r="G26" s="6"/>
      <c r="H26" s="6"/>
      <c r="I26" s="6"/>
    </row>
    <row r="27" spans="1:9">
      <c r="A27" s="27"/>
      <c r="B27" s="6"/>
      <c r="C27" s="6"/>
      <c r="D27" s="10"/>
      <c r="E27" s="6"/>
      <c r="F27" s="6"/>
      <c r="G27" s="6"/>
      <c r="H27" s="6"/>
      <c r="I27" s="6"/>
    </row>
    <row r="28" spans="1:9">
      <c r="A28" s="27"/>
      <c r="B28" s="6"/>
      <c r="C28" s="6"/>
      <c r="D28" s="6"/>
      <c r="E28" s="6"/>
      <c r="F28" s="6"/>
      <c r="G28" s="6"/>
      <c r="H28" s="6"/>
      <c r="I28" s="6"/>
    </row>
    <row r="29" spans="1:9">
      <c r="A29" s="27"/>
      <c r="B29" s="6"/>
      <c r="C29" s="11"/>
      <c r="D29" s="12"/>
      <c r="E29" s="6"/>
      <c r="F29" s="6"/>
      <c r="G29" s="6"/>
      <c r="H29" s="6"/>
      <c r="I29" s="6"/>
    </row>
    <row r="30" spans="1:9">
      <c r="A30" s="27"/>
      <c r="B30" s="6"/>
      <c r="C30" s="6"/>
      <c r="D30" s="6"/>
      <c r="E30" s="6"/>
      <c r="F30" s="6"/>
      <c r="G30" s="6"/>
      <c r="H30" s="6"/>
      <c r="I30" s="6"/>
    </row>
    <row r="31" spans="1:9">
      <c r="A31" s="27"/>
      <c r="B31" s="6"/>
      <c r="C31" s="6"/>
      <c r="D31" s="6"/>
      <c r="E31" s="6"/>
      <c r="F31" s="6"/>
      <c r="G31" s="6"/>
      <c r="H31" s="6"/>
      <c r="I31" s="6"/>
    </row>
    <row r="32" spans="1:9">
      <c r="A32" s="27"/>
      <c r="B32" s="13"/>
      <c r="C32" s="6"/>
      <c r="D32" s="6"/>
      <c r="E32" s="6"/>
      <c r="F32" s="6"/>
      <c r="G32" s="6"/>
      <c r="H32" s="6"/>
      <c r="I32" s="6"/>
    </row>
    <row r="33" spans="1:9">
      <c r="A33" s="27"/>
      <c r="B33" s="14"/>
      <c r="C33" s="14"/>
      <c r="D33" s="8"/>
      <c r="E33" s="8"/>
      <c r="F33" s="8"/>
      <c r="G33" s="6"/>
      <c r="H33" s="6"/>
      <c r="I33" s="6"/>
    </row>
    <row r="34" spans="1:9">
      <c r="A34" s="27"/>
      <c r="B34" s="6"/>
      <c r="C34" s="6"/>
      <c r="D34" s="28"/>
      <c r="E34" s="15"/>
      <c r="F34" s="16"/>
      <c r="G34" s="6"/>
      <c r="H34" s="6"/>
      <c r="I34" s="6"/>
    </row>
    <row r="35" spans="1:9">
      <c r="A35" s="27"/>
      <c r="B35" s="6"/>
      <c r="C35" s="6"/>
      <c r="D35" s="28"/>
      <c r="E35" s="15"/>
      <c r="F35" s="16"/>
      <c r="G35" s="6"/>
      <c r="H35" s="6"/>
      <c r="I35" s="6"/>
    </row>
    <row r="36" spans="1:9">
      <c r="A36" s="27"/>
      <c r="B36" s="6"/>
      <c r="C36" s="6"/>
      <c r="D36" s="28"/>
      <c r="E36" s="15"/>
      <c r="F36" s="16"/>
      <c r="G36" s="6"/>
      <c r="H36" s="6"/>
      <c r="I36" s="6"/>
    </row>
    <row r="37" spans="1:9">
      <c r="A37" s="27"/>
      <c r="B37" s="6"/>
      <c r="C37" s="6"/>
      <c r="D37" s="28"/>
      <c r="E37" s="15"/>
      <c r="F37" s="16"/>
      <c r="G37" s="6"/>
      <c r="H37" s="6"/>
      <c r="I37" s="6"/>
    </row>
    <row r="38" spans="1:9">
      <c r="A38" s="27"/>
      <c r="B38" s="6"/>
      <c r="C38" s="6"/>
      <c r="D38" s="28"/>
      <c r="E38" s="15"/>
      <c r="F38" s="16"/>
      <c r="G38" s="6"/>
      <c r="H38" s="6"/>
      <c r="I38" s="6"/>
    </row>
    <row r="39" spans="1:9">
      <c r="A39" s="27"/>
      <c r="B39" s="6"/>
      <c r="C39" s="17"/>
      <c r="D39" s="10"/>
      <c r="E39" s="10"/>
      <c r="F39" s="18"/>
      <c r="G39" s="6"/>
      <c r="H39" s="6"/>
      <c r="I39" s="6"/>
    </row>
    <row r="40" spans="1:9">
      <c r="A40" s="27"/>
      <c r="B40" s="6"/>
      <c r="C40" s="6"/>
      <c r="D40" s="6"/>
      <c r="E40" s="6"/>
      <c r="F40" s="6"/>
      <c r="G40" s="6"/>
      <c r="H40" s="6"/>
      <c r="I40" s="6"/>
    </row>
    <row r="41" spans="1:9">
      <c r="A41" s="27"/>
      <c r="B41" s="6"/>
      <c r="C41" s="6"/>
      <c r="D41" s="6"/>
      <c r="E41" s="6"/>
      <c r="F41" s="6"/>
      <c r="G41" s="6"/>
      <c r="H41" s="6"/>
      <c r="I41" s="6"/>
    </row>
    <row r="42" spans="1:9">
      <c r="A42" s="27"/>
      <c r="B42" s="6"/>
      <c r="C42" s="6"/>
      <c r="D42" s="6"/>
      <c r="E42" s="6"/>
      <c r="F42" s="6"/>
      <c r="G42" s="6"/>
      <c r="H42" s="6"/>
      <c r="I42" s="6"/>
    </row>
    <row r="43" spans="1:9">
      <c r="A43" s="27"/>
      <c r="B43" s="6"/>
      <c r="C43" s="6"/>
      <c r="D43" s="6"/>
      <c r="E43" s="6"/>
      <c r="F43" s="6"/>
      <c r="G43" s="6"/>
      <c r="H43" s="6"/>
      <c r="I43" s="6"/>
    </row>
    <row r="44" spans="1:9">
      <c r="A44" s="27"/>
      <c r="B44" s="19"/>
      <c r="C44" s="19"/>
      <c r="D44" s="6"/>
      <c r="E44" s="6"/>
      <c r="F44" s="6"/>
      <c r="G44" s="6"/>
      <c r="H44" s="6"/>
      <c r="I44" s="6"/>
    </row>
    <row r="45" spans="1:9">
      <c r="A45" s="27"/>
      <c r="B45" s="20"/>
      <c r="C45" s="20"/>
      <c r="D45" s="21"/>
      <c r="E45" s="21"/>
      <c r="F45" s="21"/>
      <c r="G45" s="6"/>
      <c r="H45" s="6"/>
      <c r="I45" s="6"/>
    </row>
    <row r="46" spans="1:9">
      <c r="A46" s="27"/>
      <c r="B46" s="6"/>
      <c r="C46" s="6"/>
      <c r="D46" s="28"/>
      <c r="E46" s="15"/>
      <c r="F46" s="16"/>
      <c r="G46" s="6"/>
      <c r="H46" s="6"/>
      <c r="I46" s="6"/>
    </row>
    <row r="47" spans="1:9">
      <c r="A47" s="27"/>
      <c r="B47" s="6"/>
      <c r="C47" s="6"/>
      <c r="D47" s="28"/>
      <c r="E47" s="15"/>
      <c r="F47" s="16"/>
      <c r="G47" s="6"/>
      <c r="H47" s="6"/>
      <c r="I47" s="6"/>
    </row>
    <row r="48" spans="1:9">
      <c r="A48" s="27"/>
      <c r="B48" s="6"/>
      <c r="C48" s="6"/>
      <c r="D48" s="28"/>
      <c r="E48" s="15"/>
      <c r="F48" s="16"/>
      <c r="G48" s="6"/>
      <c r="H48" s="6"/>
      <c r="I48" s="6"/>
    </row>
    <row r="49" spans="1:9">
      <c r="A49" s="27"/>
      <c r="B49" s="6"/>
      <c r="C49" s="6"/>
      <c r="D49" s="28"/>
      <c r="E49" s="15"/>
      <c r="F49" s="16"/>
      <c r="G49" s="6"/>
      <c r="H49" s="6"/>
      <c r="I49" s="6"/>
    </row>
    <row r="50" spans="1:9">
      <c r="A50" s="27"/>
      <c r="B50" s="6"/>
      <c r="C50" s="6"/>
      <c r="D50" s="28"/>
      <c r="E50" s="15"/>
      <c r="F50" s="16"/>
      <c r="G50" s="6"/>
      <c r="H50" s="6"/>
      <c r="I50" s="6"/>
    </row>
    <row r="51" spans="1:9">
      <c r="A51" s="27"/>
      <c r="B51" s="6"/>
      <c r="C51" s="22"/>
      <c r="D51" s="23"/>
      <c r="E51" s="23"/>
      <c r="F51" s="24"/>
      <c r="G51" s="6"/>
      <c r="H51" s="6"/>
      <c r="I51" s="6"/>
    </row>
    <row r="52" spans="1:9">
      <c r="A52" s="27"/>
      <c r="B52" s="6"/>
      <c r="C52" s="6"/>
      <c r="D52" s="6"/>
      <c r="E52" s="6"/>
      <c r="F52" s="6"/>
      <c r="G52" s="6"/>
      <c r="H52" s="6"/>
      <c r="I52" s="6"/>
    </row>
    <row r="53" spans="1:9">
      <c r="A53" s="27"/>
      <c r="B53" s="6"/>
      <c r="C53" s="6"/>
      <c r="D53" s="6"/>
      <c r="E53" s="6"/>
      <c r="F53" s="6"/>
      <c r="G53" s="6"/>
      <c r="H53" s="6"/>
      <c r="I53" s="6"/>
    </row>
    <row r="54" spans="1:9">
      <c r="A54" s="27"/>
      <c r="B54" s="6"/>
      <c r="C54" s="6"/>
      <c r="D54" s="6"/>
      <c r="E54" s="6"/>
      <c r="F54" s="6"/>
      <c r="G54" s="6"/>
      <c r="H54" s="6"/>
      <c r="I54" s="6"/>
    </row>
    <row r="55" spans="1:9">
      <c r="A55" s="27"/>
      <c r="B55" s="6"/>
      <c r="C55" s="6"/>
      <c r="D55" s="6"/>
      <c r="E55" s="6"/>
      <c r="F55" s="6"/>
      <c r="G55" s="6"/>
      <c r="H55" s="6"/>
      <c r="I55" s="6"/>
    </row>
    <row r="56" spans="1:9">
      <c r="A56" s="25"/>
      <c r="B56" s="6"/>
      <c r="C56" s="6"/>
      <c r="D56" s="6"/>
      <c r="E56" s="6"/>
      <c r="F56" s="6"/>
      <c r="G56" s="6"/>
      <c r="H56" s="6"/>
      <c r="I56" s="6"/>
    </row>
    <row r="57" spans="1:9">
      <c r="A57" s="6"/>
      <c r="B57" s="6"/>
      <c r="C57" s="6"/>
      <c r="D57" s="6"/>
      <c r="E57" s="6"/>
      <c r="F57" s="6"/>
      <c r="G57" s="6"/>
      <c r="H57" s="6"/>
      <c r="I57" s="6"/>
    </row>
    <row r="58" spans="1:9">
      <c r="A58" s="6"/>
      <c r="B58" s="6"/>
      <c r="C58" s="6"/>
      <c r="D58" s="6"/>
      <c r="E58" s="6"/>
      <c r="F58" s="6"/>
      <c r="G58" s="6"/>
      <c r="H58" s="6"/>
      <c r="I58" s="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>
      <c r="A60" s="6"/>
      <c r="B60" s="6"/>
      <c r="C60" s="6"/>
      <c r="D60" s="6"/>
      <c r="E60" s="6"/>
      <c r="F60" s="6"/>
      <c r="G60" s="6"/>
      <c r="H60" s="6"/>
      <c r="I60" s="6"/>
    </row>
    <row r="61" spans="1:9">
      <c r="A61" s="6"/>
      <c r="B61" s="6"/>
      <c r="C61" s="6"/>
      <c r="D61" s="6"/>
      <c r="E61" s="6"/>
      <c r="F61" s="6"/>
      <c r="G61" s="6"/>
      <c r="H61" s="6"/>
      <c r="I61" s="6"/>
    </row>
    <row r="62" spans="1:9">
      <c r="A62" s="6"/>
      <c r="B62" s="6"/>
      <c r="C62" s="6"/>
      <c r="D62" s="6"/>
      <c r="E62" s="6"/>
      <c r="F62" s="6"/>
      <c r="G62" s="6"/>
      <c r="H62" s="6"/>
      <c r="I62" s="6"/>
    </row>
    <row r="63" spans="1:9">
      <c r="A63" s="6"/>
      <c r="B63" s="6"/>
      <c r="C63" s="6"/>
      <c r="D63" s="6"/>
      <c r="E63" s="6"/>
      <c r="F63" s="6"/>
      <c r="G63" s="6"/>
      <c r="H63" s="6"/>
      <c r="I63" s="6"/>
    </row>
    <row r="64" spans="1:9">
      <c r="A64" s="6"/>
      <c r="B64" s="6"/>
      <c r="C64" s="6"/>
      <c r="D64" s="6"/>
      <c r="E64" s="6"/>
      <c r="F64" s="6"/>
      <c r="G64" s="6"/>
      <c r="H64" s="6"/>
      <c r="I64" s="6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</sheetData>
  <mergeCells count="1">
    <mergeCell ref="D16:E16"/>
  </mergeCells>
  <phoneticPr fontId="0" type="noConversion"/>
  <pageMargins left="0.75" right="0.75" top="1" bottom="1" header="0" footer="0"/>
  <pageSetup paperSize="9" scale="50" orientation="portrait" horizontalDpi="4294967293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1"/>
  <sheetViews>
    <sheetView showGridLines="0" topLeftCell="A5" zoomScaleNormal="100" workbookViewId="0">
      <selection activeCell="E40" sqref="E40:F40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2" t="s">
        <v>2</v>
      </c>
      <c r="F7" s="302"/>
      <c r="G7" s="302"/>
      <c r="H7" s="302"/>
      <c r="I7" s="84" t="s">
        <v>48</v>
      </c>
      <c r="J7" s="85">
        <f>CARÁT!$F$16</f>
        <v>2024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55"/>
    </row>
    <row r="11" spans="1:11">
      <c r="A11" s="41"/>
      <c r="B11" s="41">
        <v>24</v>
      </c>
      <c r="C11" s="46">
        <v>45516</v>
      </c>
      <c r="D11" s="363" t="s">
        <v>9</v>
      </c>
      <c r="E11" s="363"/>
      <c r="F11" s="305">
        <v>32160</v>
      </c>
      <c r="G11" s="305"/>
      <c r="H11" s="303" t="s">
        <v>10</v>
      </c>
      <c r="I11" s="303"/>
      <c r="J11" s="303"/>
      <c r="K11" s="55"/>
    </row>
    <row r="12" spans="1:11">
      <c r="A12" s="41"/>
      <c r="B12" s="41">
        <v>25</v>
      </c>
      <c r="C12" s="46">
        <v>45532</v>
      </c>
      <c r="D12" s="363" t="s">
        <v>9</v>
      </c>
      <c r="E12" s="363"/>
      <c r="F12" s="305">
        <v>9240</v>
      </c>
      <c r="G12" s="305"/>
      <c r="H12" s="303" t="s">
        <v>10</v>
      </c>
      <c r="I12" s="303"/>
      <c r="J12" s="303"/>
      <c r="K12" s="55"/>
    </row>
    <row r="13" spans="1:11">
      <c r="A13" s="41"/>
      <c r="B13" s="41"/>
      <c r="C13" s="46"/>
      <c r="D13" s="363"/>
      <c r="E13" s="363"/>
      <c r="F13" s="305"/>
      <c r="G13" s="305"/>
      <c r="H13" s="303"/>
      <c r="I13" s="303"/>
      <c r="J13" s="303"/>
      <c r="K13" s="55"/>
    </row>
    <row r="14" spans="1:11">
      <c r="A14" s="41"/>
      <c r="B14" s="41"/>
      <c r="C14" s="46"/>
      <c r="D14" s="363"/>
      <c r="E14" s="363"/>
      <c r="F14" s="305"/>
      <c r="G14" s="305"/>
      <c r="H14" s="47"/>
      <c r="I14" s="47"/>
      <c r="J14" s="47"/>
      <c r="K14" s="55"/>
    </row>
    <row r="15" spans="1:11">
      <c r="A15" s="41"/>
      <c r="B15" s="41"/>
      <c r="C15" s="46"/>
      <c r="D15" s="363"/>
      <c r="E15" s="363"/>
      <c r="F15" s="305"/>
      <c r="G15" s="305"/>
      <c r="H15" s="303"/>
      <c r="I15" s="303"/>
      <c r="J15" s="303"/>
      <c r="K15" s="55"/>
    </row>
    <row r="16" spans="1:11">
      <c r="A16" s="41"/>
      <c r="B16" s="41"/>
      <c r="C16" s="46"/>
      <c r="D16" s="363"/>
      <c r="E16" s="363"/>
      <c r="F16" s="305"/>
      <c r="G16" s="305"/>
      <c r="H16" s="303"/>
      <c r="I16" s="303"/>
      <c r="J16" s="303"/>
      <c r="K16" s="55"/>
    </row>
    <row r="17" spans="1:11">
      <c r="A17" s="41"/>
      <c r="B17" s="41"/>
      <c r="C17" s="46"/>
      <c r="D17" s="363"/>
      <c r="E17" s="363"/>
      <c r="F17" s="305"/>
      <c r="G17" s="305"/>
      <c r="H17" s="303"/>
      <c r="I17" s="303"/>
      <c r="J17" s="303"/>
      <c r="K17" s="55"/>
    </row>
    <row r="18" spans="1:11">
      <c r="A18" s="41"/>
      <c r="B18" s="41"/>
      <c r="C18" s="46"/>
      <c r="D18" s="363"/>
      <c r="E18" s="363"/>
      <c r="F18" s="305"/>
      <c r="G18" s="305"/>
      <c r="H18" s="303"/>
      <c r="I18" s="303"/>
      <c r="J18" s="303"/>
      <c r="K18" s="55"/>
    </row>
    <row r="19" spans="1:11">
      <c r="A19" s="41"/>
      <c r="B19" s="41"/>
      <c r="C19" s="46"/>
      <c r="D19" s="363"/>
      <c r="E19" s="363"/>
      <c r="F19" s="305"/>
      <c r="G19" s="305"/>
      <c r="H19" s="303"/>
      <c r="I19" s="303"/>
      <c r="J19" s="303"/>
      <c r="K19" s="55"/>
    </row>
    <row r="20" spans="1:11">
      <c r="A20" s="41"/>
      <c r="B20" s="41"/>
      <c r="C20" s="46"/>
      <c r="D20" s="303"/>
      <c r="E20" s="303"/>
      <c r="F20" s="305"/>
      <c r="G20" s="305"/>
      <c r="H20" s="303"/>
      <c r="I20" s="303"/>
      <c r="J20" s="303"/>
      <c r="K20" s="55"/>
    </row>
    <row r="21" spans="1:11">
      <c r="A21" s="41"/>
      <c r="B21" s="41"/>
      <c r="C21" s="46"/>
      <c r="D21" s="363"/>
      <c r="E21" s="363"/>
      <c r="F21" s="305"/>
      <c r="G21" s="305"/>
      <c r="H21" s="303"/>
      <c r="I21" s="303"/>
      <c r="J21" s="303"/>
      <c r="K21" s="55"/>
    </row>
    <row r="22" spans="1:11">
      <c r="A22" s="41"/>
      <c r="B22" s="41"/>
      <c r="C22" s="46"/>
      <c r="D22" s="363"/>
      <c r="E22" s="363"/>
      <c r="F22" s="305"/>
      <c r="G22" s="305"/>
      <c r="H22" s="303"/>
      <c r="I22" s="303"/>
      <c r="J22" s="303"/>
      <c r="K22" s="55"/>
    </row>
    <row r="23" spans="1:11">
      <c r="A23" s="41"/>
      <c r="B23" s="41"/>
      <c r="C23" s="46"/>
      <c r="D23" s="303"/>
      <c r="E23" s="303"/>
      <c r="F23" s="305"/>
      <c r="G23" s="305"/>
      <c r="H23" s="303"/>
      <c r="I23" s="303"/>
      <c r="J23" s="303"/>
      <c r="K23" s="55"/>
    </row>
    <row r="24" spans="1:11">
      <c r="A24" s="41"/>
      <c r="B24" s="41"/>
      <c r="C24" s="46"/>
      <c r="D24" s="303"/>
      <c r="E24" s="303"/>
      <c r="F24" s="305"/>
      <c r="G24" s="305"/>
      <c r="H24" s="303"/>
      <c r="I24" s="303"/>
      <c r="J24" s="303"/>
      <c r="K24" s="55"/>
    </row>
    <row r="25" spans="1:11">
      <c r="A25" s="41"/>
      <c r="B25" s="41"/>
      <c r="C25" s="46"/>
      <c r="D25" s="303"/>
      <c r="E25" s="303"/>
      <c r="F25" s="305"/>
      <c r="G25" s="305"/>
      <c r="H25" s="303"/>
      <c r="I25" s="303"/>
      <c r="J25" s="303"/>
      <c r="K25" s="55"/>
    </row>
    <row r="26" spans="1:11">
      <c r="A26" s="41"/>
      <c r="B26" s="41"/>
      <c r="C26" s="46"/>
      <c r="D26" s="303"/>
      <c r="E26" s="303"/>
      <c r="F26" s="305"/>
      <c r="G26" s="305"/>
      <c r="H26" s="303"/>
      <c r="I26" s="303"/>
      <c r="J26" s="303"/>
      <c r="K26" s="55"/>
    </row>
    <row r="27" spans="1:11">
      <c r="A27" s="41"/>
      <c r="B27" s="41"/>
      <c r="C27" s="46"/>
      <c r="D27" s="303"/>
      <c r="E27" s="303"/>
      <c r="F27" s="305"/>
      <c r="G27" s="305"/>
      <c r="H27" s="303"/>
      <c r="I27" s="303"/>
      <c r="J27" s="303"/>
      <c r="K27" s="55"/>
    </row>
    <row r="28" spans="1:11">
      <c r="A28" s="41"/>
      <c r="B28" s="41"/>
      <c r="C28" s="46"/>
      <c r="D28" s="47"/>
      <c r="E28" s="47"/>
      <c r="F28" s="305"/>
      <c r="G28" s="305"/>
      <c r="H28" s="303"/>
      <c r="I28" s="303"/>
      <c r="J28" s="303"/>
      <c r="K28" s="55"/>
    </row>
    <row r="29" spans="1:11">
      <c r="A29" s="41"/>
      <c r="B29" s="41"/>
      <c r="C29" s="46"/>
      <c r="D29" s="47"/>
      <c r="E29" s="47"/>
      <c r="F29" s="305"/>
      <c r="G29" s="305"/>
      <c r="H29" s="303"/>
      <c r="I29" s="303"/>
      <c r="J29" s="303"/>
      <c r="K29" s="55"/>
    </row>
    <row r="30" spans="1:11">
      <c r="A30" s="41"/>
      <c r="B30" s="41"/>
      <c r="C30" s="46"/>
      <c r="D30" s="47"/>
      <c r="E30" s="47"/>
      <c r="F30" s="305"/>
      <c r="G30" s="305"/>
      <c r="H30" s="303"/>
      <c r="I30" s="303"/>
      <c r="J30" s="303"/>
      <c r="K30" s="55"/>
    </row>
    <row r="31" spans="1:11">
      <c r="A31" s="41"/>
      <c r="B31" s="41"/>
      <c r="C31" s="46"/>
      <c r="D31" s="47"/>
      <c r="E31" s="47"/>
      <c r="F31" s="305"/>
      <c r="G31" s="305"/>
      <c r="H31" s="303"/>
      <c r="I31" s="303"/>
      <c r="J31" s="303"/>
      <c r="K31" s="55"/>
    </row>
    <row r="32" spans="1:11">
      <c r="A32" s="41"/>
      <c r="B32" s="41"/>
      <c r="C32" s="46"/>
      <c r="D32" s="47"/>
      <c r="E32" s="47"/>
      <c r="F32" s="305"/>
      <c r="G32" s="305"/>
      <c r="H32" s="303"/>
      <c r="I32" s="303"/>
      <c r="J32" s="303"/>
      <c r="K32" s="55"/>
    </row>
    <row r="33" spans="1:11">
      <c r="A33" s="41"/>
      <c r="B33" s="41"/>
      <c r="C33" s="46"/>
      <c r="D33" s="303"/>
      <c r="E33" s="303"/>
      <c r="F33" s="318"/>
      <c r="G33" s="318"/>
      <c r="H33" s="303"/>
      <c r="I33" s="303"/>
      <c r="J33" s="303"/>
      <c r="K33" s="55"/>
    </row>
    <row r="34" spans="1:11">
      <c r="A34" s="41"/>
      <c r="B34" s="41"/>
      <c r="C34" s="51"/>
      <c r="D34" s="52"/>
      <c r="E34" s="52"/>
      <c r="F34" s="329">
        <f>SUM(F11:G32)</f>
        <v>41400</v>
      </c>
      <c r="G34" s="330"/>
      <c r="H34" s="53"/>
      <c r="I34" s="53"/>
      <c r="J34" s="53"/>
      <c r="K34" s="55"/>
    </row>
    <row r="35" spans="1:11">
      <c r="A35" s="41"/>
      <c r="B35" s="41"/>
      <c r="C35" s="51"/>
      <c r="D35" s="52"/>
      <c r="E35" s="52"/>
      <c r="F35" s="88"/>
      <c r="G35" s="128"/>
      <c r="H35" s="53"/>
      <c r="I35" s="53"/>
      <c r="J35" s="53"/>
      <c r="K35" s="55"/>
    </row>
    <row r="36" spans="1:11">
      <c r="A36" s="41"/>
      <c r="B36" s="41"/>
      <c r="C36" s="55"/>
      <c r="D36" s="319" t="s">
        <v>14</v>
      </c>
      <c r="E36" s="319"/>
      <c r="F36" s="55"/>
      <c r="G36" s="58">
        <f>F34/1000</f>
        <v>41.4</v>
      </c>
      <c r="H36" s="55"/>
      <c r="I36" s="55"/>
      <c r="J36" s="55"/>
      <c r="K36" s="55"/>
    </row>
    <row r="37" spans="1:11">
      <c r="A37" s="41"/>
      <c r="B37" s="41"/>
      <c r="C37" s="55"/>
      <c r="D37" s="55"/>
      <c r="E37" s="56"/>
      <c r="F37" s="55"/>
      <c r="G37" s="55"/>
      <c r="H37" s="55"/>
      <c r="I37" s="55"/>
      <c r="J37" s="55"/>
      <c r="K37" s="55"/>
    </row>
    <row r="38" spans="1:11">
      <c r="A38" s="41"/>
      <c r="B38" s="41"/>
      <c r="C38" s="317" t="s">
        <v>15</v>
      </c>
      <c r="D38" s="317"/>
      <c r="E38" s="317" t="s">
        <v>16</v>
      </c>
      <c r="F38" s="317"/>
      <c r="G38" s="59" t="s">
        <v>17</v>
      </c>
      <c r="H38" s="59" t="s">
        <v>18</v>
      </c>
      <c r="I38" s="55"/>
      <c r="J38" s="55"/>
      <c r="K38" s="55"/>
    </row>
    <row r="39" spans="1:11">
      <c r="A39" s="41"/>
      <c r="B39" s="41"/>
      <c r="C39" s="303" t="s">
        <v>20</v>
      </c>
      <c r="D39" s="303"/>
      <c r="E39" s="364">
        <f>F11+F12</f>
        <v>41400</v>
      </c>
      <c r="F39" s="364"/>
      <c r="G39" s="61">
        <f>+E39/E47</f>
        <v>1</v>
      </c>
      <c r="H39" s="62">
        <v>2</v>
      </c>
      <c r="I39" s="55"/>
      <c r="J39" s="55"/>
      <c r="K39" s="55"/>
    </row>
    <row r="40" spans="1:11">
      <c r="A40" s="41"/>
      <c r="B40" s="41"/>
      <c r="C40" s="303"/>
      <c r="D40" s="303"/>
      <c r="E40" s="364"/>
      <c r="F40" s="364"/>
      <c r="G40" s="61">
        <f>+E40/E47</f>
        <v>0</v>
      </c>
      <c r="H40" s="62"/>
      <c r="I40" s="55"/>
      <c r="J40" s="55"/>
      <c r="K40" s="55"/>
    </row>
    <row r="41" spans="1:11">
      <c r="A41" s="41"/>
      <c r="B41" s="41"/>
      <c r="C41" s="303"/>
      <c r="D41" s="303"/>
      <c r="E41" s="364"/>
      <c r="F41" s="364"/>
      <c r="G41" s="61">
        <f>+E41/E47</f>
        <v>0</v>
      </c>
      <c r="H41" s="62"/>
      <c r="I41" s="55"/>
      <c r="J41" s="55"/>
      <c r="K41" s="55"/>
    </row>
    <row r="42" spans="1:11">
      <c r="A42" s="41"/>
      <c r="B42" s="41"/>
      <c r="C42" s="47"/>
      <c r="D42" s="47"/>
      <c r="E42" s="60"/>
      <c r="F42" s="60"/>
      <c r="G42" s="61">
        <f>+F42/E47</f>
        <v>0</v>
      </c>
      <c r="H42" s="62"/>
      <c r="I42" s="55"/>
      <c r="J42" s="55"/>
      <c r="K42" s="55"/>
    </row>
    <row r="43" spans="1:11">
      <c r="A43" s="41"/>
      <c r="B43" s="41"/>
      <c r="C43" s="303"/>
      <c r="D43" s="303"/>
      <c r="E43" s="364"/>
      <c r="F43" s="364"/>
      <c r="G43" s="61">
        <f>+E43/E47</f>
        <v>0</v>
      </c>
      <c r="H43" s="62"/>
      <c r="I43" s="55"/>
      <c r="J43" s="55"/>
      <c r="K43" s="55"/>
    </row>
    <row r="44" spans="1:11">
      <c r="A44" s="41"/>
      <c r="B44" s="41"/>
      <c r="C44" s="47"/>
      <c r="D44" s="47"/>
      <c r="E44" s="60"/>
      <c r="F44" s="60"/>
      <c r="G44" s="61">
        <f>+F44/E47</f>
        <v>0</v>
      </c>
      <c r="H44" s="62"/>
      <c r="I44" s="55"/>
      <c r="J44" s="55"/>
      <c r="K44" s="55"/>
    </row>
    <row r="45" spans="1:11">
      <c r="A45" s="41"/>
      <c r="B45" s="41"/>
      <c r="C45" s="47"/>
      <c r="D45" s="47"/>
      <c r="E45" s="60"/>
      <c r="F45" s="60"/>
      <c r="G45" s="61">
        <f>F45/E47</f>
        <v>0</v>
      </c>
      <c r="H45" s="62"/>
      <c r="I45" s="55"/>
      <c r="J45" s="55"/>
      <c r="K45" s="55"/>
    </row>
    <row r="46" spans="1:11">
      <c r="A46" s="41"/>
      <c r="B46" s="41"/>
      <c r="C46" s="303"/>
      <c r="D46" s="303"/>
      <c r="E46" s="304"/>
      <c r="F46" s="304"/>
      <c r="G46" s="61">
        <f>+E46/E47</f>
        <v>0</v>
      </c>
      <c r="H46" s="62"/>
      <c r="I46" s="55"/>
      <c r="J46" s="55"/>
      <c r="K46" s="55"/>
    </row>
    <row r="47" spans="1:11">
      <c r="A47" s="41"/>
      <c r="B47" s="41"/>
      <c r="C47" s="64"/>
      <c r="D47" s="57" t="s">
        <v>21</v>
      </c>
      <c r="E47" s="365">
        <f>SUM(E39:F46)</f>
        <v>41400</v>
      </c>
      <c r="F47" s="365"/>
      <c r="G47" s="65">
        <f>SUM(G39:G46)</f>
        <v>1</v>
      </c>
      <c r="H47" s="66">
        <f>SUM(H39:H46)</f>
        <v>2</v>
      </c>
      <c r="I47" s="55"/>
      <c r="J47" s="55"/>
      <c r="K47" s="55"/>
    </row>
    <row r="48" spans="1:11">
      <c r="A48" s="41"/>
      <c r="B48" s="41"/>
      <c r="C48" s="68"/>
      <c r="D48" s="55"/>
      <c r="E48" s="54"/>
      <c r="F48" s="69"/>
      <c r="G48" s="70"/>
      <c r="H48" s="55"/>
      <c r="I48" s="55"/>
      <c r="J48" s="55"/>
      <c r="K48" s="55"/>
    </row>
    <row r="49" spans="1:11">
      <c r="A49" s="41"/>
      <c r="B49" s="41"/>
      <c r="C49" s="313" t="s">
        <v>8</v>
      </c>
      <c r="D49" s="314"/>
      <c r="E49" s="315"/>
      <c r="F49" s="316" t="s">
        <v>7</v>
      </c>
      <c r="G49" s="317"/>
      <c r="H49" s="59" t="s">
        <v>17</v>
      </c>
      <c r="I49" s="55"/>
      <c r="J49" s="55"/>
      <c r="K49" s="55"/>
    </row>
    <row r="50" spans="1:11">
      <c r="A50" s="41"/>
      <c r="B50" s="41"/>
      <c r="C50" s="303" t="s">
        <v>22</v>
      </c>
      <c r="D50" s="303"/>
      <c r="E50" s="303"/>
      <c r="F50" s="49"/>
      <c r="G50" s="49"/>
      <c r="H50" s="61">
        <f>+G50/F52</f>
        <v>0</v>
      </c>
      <c r="I50" s="55"/>
      <c r="J50" s="55"/>
      <c r="K50" s="55"/>
    </row>
    <row r="51" spans="1:11">
      <c r="A51" s="41"/>
      <c r="B51" s="41"/>
      <c r="C51" s="303" t="s">
        <v>23</v>
      </c>
      <c r="D51" s="303"/>
      <c r="E51" s="303"/>
      <c r="F51" s="49"/>
      <c r="G51" s="49">
        <f>F34</f>
        <v>41400</v>
      </c>
      <c r="H51" s="61">
        <f>+G51/F52</f>
        <v>1</v>
      </c>
      <c r="I51" s="55"/>
      <c r="J51" s="55"/>
      <c r="K51" s="55"/>
    </row>
    <row r="52" spans="1:11">
      <c r="A52" s="41"/>
      <c r="B52" s="41"/>
      <c r="C52" s="55"/>
      <c r="D52" s="55" t="s">
        <v>21</v>
      </c>
      <c r="E52" s="55"/>
      <c r="F52" s="308">
        <f>SUM(F50:G51)</f>
        <v>41400</v>
      </c>
      <c r="G52" s="308"/>
      <c r="H52" s="65">
        <f>SUM(H50:H51)</f>
        <v>1</v>
      </c>
      <c r="I52" s="55"/>
      <c r="J52" s="55"/>
      <c r="K52" s="55"/>
    </row>
    <row r="53" spans="1:11">
      <c r="A53" s="41"/>
      <c r="B53" s="41"/>
      <c r="C53" s="55"/>
      <c r="D53" s="55"/>
      <c r="E53" s="55"/>
      <c r="F53" s="88"/>
      <c r="G53" s="88"/>
      <c r="H53" s="89"/>
      <c r="I53" s="55"/>
      <c r="J53" s="55"/>
      <c r="K53" s="55"/>
    </row>
    <row r="54" spans="1:11">
      <c r="A54" s="41"/>
      <c r="B54" s="41"/>
      <c r="C54" s="55"/>
      <c r="D54" s="55"/>
      <c r="E54" s="309" t="s">
        <v>24</v>
      </c>
      <c r="F54" s="309"/>
      <c r="G54" s="309"/>
      <c r="H54" s="309"/>
      <c r="I54" s="55"/>
      <c r="J54" s="55"/>
      <c r="K54" s="55"/>
    </row>
    <row r="55" spans="1:11">
      <c r="A55" s="41"/>
      <c r="B55" s="41"/>
      <c r="C55" s="55"/>
      <c r="D55" s="108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109" t="s">
        <v>25</v>
      </c>
      <c r="E56" s="336" t="s">
        <v>26</v>
      </c>
      <c r="F56" s="337"/>
      <c r="G56" s="336" t="s">
        <v>27</v>
      </c>
      <c r="H56" s="337"/>
      <c r="I56" s="55"/>
      <c r="J56" s="55"/>
      <c r="K56" s="55"/>
    </row>
    <row r="57" spans="1:11">
      <c r="A57" s="55"/>
      <c r="B57" s="55"/>
      <c r="C57" s="55"/>
      <c r="D57" s="110" t="s">
        <v>28</v>
      </c>
      <c r="E57" s="118" t="s">
        <v>29</v>
      </c>
      <c r="F57" s="118" t="s">
        <v>30</v>
      </c>
      <c r="G57" s="119" t="s">
        <v>29</v>
      </c>
      <c r="H57" s="119" t="s">
        <v>30</v>
      </c>
      <c r="I57" s="55"/>
      <c r="J57" s="55"/>
      <c r="K57" s="55"/>
    </row>
    <row r="58" spans="1:11">
      <c r="A58" s="55"/>
      <c r="B58" s="55"/>
      <c r="C58" s="55"/>
      <c r="D58" s="90" t="s">
        <v>31</v>
      </c>
      <c r="E58" s="91">
        <f>Comparativos!$BA$13</f>
        <v>123.39</v>
      </c>
      <c r="F58" s="92">
        <f>Comparativos!$BB$13</f>
        <v>4</v>
      </c>
      <c r="G58" s="129">
        <f>ENE!$G$46</f>
        <v>417.87</v>
      </c>
      <c r="H58" s="111">
        <f>ENE!$H$55</f>
        <v>8</v>
      </c>
      <c r="I58" s="55"/>
      <c r="J58" s="55"/>
      <c r="K58" s="55"/>
    </row>
    <row r="59" spans="1:11">
      <c r="A59" s="55"/>
      <c r="B59" s="55"/>
      <c r="C59" s="55"/>
      <c r="D59" s="90" t="s">
        <v>33</v>
      </c>
      <c r="E59" s="121">
        <f>Comparativos!$BA$14</f>
        <v>176.79</v>
      </c>
      <c r="F59" s="113">
        <f>Comparativos!$BB$14</f>
        <v>6</v>
      </c>
      <c r="G59" s="130">
        <f>FEB!$G$48</f>
        <v>127.8</v>
      </c>
      <c r="H59" s="112">
        <f>FEB!$H$57</f>
        <v>2</v>
      </c>
      <c r="I59" s="55"/>
      <c r="J59" s="55"/>
      <c r="K59" s="55"/>
    </row>
    <row r="60" spans="1:11">
      <c r="A60" s="55"/>
      <c r="B60" s="55"/>
      <c r="C60" s="55"/>
      <c r="D60" s="90" t="s">
        <v>35</v>
      </c>
      <c r="E60" s="121">
        <f>Comparativos!$BA$15</f>
        <v>370.56</v>
      </c>
      <c r="F60" s="113">
        <f>Comparativos!$BB$15</f>
        <v>11</v>
      </c>
      <c r="G60" s="130">
        <f>MAR!$G$43</f>
        <v>78.06</v>
      </c>
      <c r="H60" s="112">
        <f>MAR!$H$51</f>
        <v>2</v>
      </c>
      <c r="I60" s="55"/>
      <c r="J60" s="55"/>
      <c r="K60" s="55"/>
    </row>
    <row r="61" spans="1:11">
      <c r="A61" s="55"/>
      <c r="B61" s="55"/>
      <c r="C61" s="55"/>
      <c r="D61" s="90" t="s">
        <v>37</v>
      </c>
      <c r="E61" s="121">
        <f>Comparativos!$BA$16</f>
        <v>201.99</v>
      </c>
      <c r="F61" s="113">
        <f>Comparativos!$BB$16</f>
        <v>8</v>
      </c>
      <c r="G61" s="130">
        <f>ABR!$G$41</f>
        <v>0</v>
      </c>
      <c r="H61" s="112">
        <f>ABR!$H$50</f>
        <v>0</v>
      </c>
      <c r="I61" s="55"/>
      <c r="J61" s="55"/>
      <c r="K61" s="55"/>
    </row>
    <row r="62" spans="1:11">
      <c r="A62" s="55"/>
      <c r="B62" s="55"/>
      <c r="C62" s="55"/>
      <c r="D62" s="90" t="s">
        <v>39</v>
      </c>
      <c r="E62" s="121">
        <f>Comparativos!$BA$17</f>
        <v>60.9</v>
      </c>
      <c r="F62" s="113">
        <f>Comparativos!$BB$17</f>
        <v>2</v>
      </c>
      <c r="G62" s="122">
        <f>MAY!$G$44</f>
        <v>0</v>
      </c>
      <c r="H62" s="120">
        <f>MAY!$H$52</f>
        <v>0</v>
      </c>
      <c r="I62" s="55"/>
      <c r="J62" s="55"/>
      <c r="K62" s="55"/>
    </row>
    <row r="63" spans="1:11">
      <c r="A63" s="55"/>
      <c r="B63" s="55"/>
      <c r="C63" s="55"/>
      <c r="D63" s="90" t="s">
        <v>41</v>
      </c>
      <c r="E63" s="121">
        <f>Comparativos!$BA$18</f>
        <v>0</v>
      </c>
      <c r="F63" s="113">
        <f>Comparativos!$BB$18</f>
        <v>0</v>
      </c>
      <c r="G63" s="122">
        <f>JUN!$G$33</f>
        <v>32.46</v>
      </c>
      <c r="H63" s="120">
        <f>JUN!$H$42</f>
        <v>1</v>
      </c>
      <c r="I63" s="55"/>
      <c r="J63" s="55"/>
      <c r="K63" s="55"/>
    </row>
    <row r="64" spans="1:11">
      <c r="A64" s="55"/>
      <c r="B64" s="55"/>
      <c r="C64" s="55"/>
      <c r="D64" s="90" t="s">
        <v>47</v>
      </c>
      <c r="E64" s="121">
        <f>Comparativos!$BA$20</f>
        <v>0</v>
      </c>
      <c r="F64" s="113">
        <f>Comparativos!$BB$20</f>
        <v>0</v>
      </c>
      <c r="G64" s="122">
        <f>JUL!$G$33</f>
        <v>79.47</v>
      </c>
      <c r="H64" s="120">
        <f>JUL!$H$42</f>
        <v>1</v>
      </c>
      <c r="I64" s="55"/>
      <c r="J64" s="55"/>
      <c r="K64" s="55"/>
    </row>
    <row r="65" spans="1:11">
      <c r="A65" s="55"/>
      <c r="B65" s="55"/>
      <c r="C65" s="55"/>
      <c r="D65" s="94" t="s">
        <v>49</v>
      </c>
      <c r="E65" s="114">
        <f>Comparativos!$BA$21</f>
        <v>132.38999999999999</v>
      </c>
      <c r="F65" s="117">
        <f>Comparativos!$BB$21</f>
        <v>4</v>
      </c>
      <c r="G65" s="123">
        <f>G36</f>
        <v>41.4</v>
      </c>
      <c r="H65" s="115">
        <f>H47</f>
        <v>2</v>
      </c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79">
        <f>SUM(E58:E65)</f>
        <v>1066.02</v>
      </c>
      <c r="F67" s="80">
        <f>SUM(F58:F66)</f>
        <v>35</v>
      </c>
      <c r="G67" s="79">
        <f>SUM(G58:G65)</f>
        <v>777.06000000000006</v>
      </c>
      <c r="H67" s="80">
        <f>SUM(H58:H65)</f>
        <v>16</v>
      </c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</row>
    <row r="79" spans="1:11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80" spans="1:11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0">
      <c r="A81" s="55"/>
      <c r="B81" s="55"/>
      <c r="C81" s="55"/>
      <c r="D81" s="55"/>
      <c r="E81" s="55"/>
      <c r="F81" s="55"/>
      <c r="G81" s="55"/>
      <c r="H81" s="55"/>
      <c r="I81" s="55"/>
      <c r="J81" s="55"/>
    </row>
  </sheetData>
  <mergeCells count="90">
    <mergeCell ref="H30:J30"/>
    <mergeCell ref="H31:J31"/>
    <mergeCell ref="H32:J32"/>
    <mergeCell ref="E39:F39"/>
    <mergeCell ref="D33:E33"/>
    <mergeCell ref="F33:G33"/>
    <mergeCell ref="H33:J33"/>
    <mergeCell ref="C38:D38"/>
    <mergeCell ref="H28:J28"/>
    <mergeCell ref="H29:J29"/>
    <mergeCell ref="H22:J22"/>
    <mergeCell ref="H23:J23"/>
    <mergeCell ref="H24:J24"/>
    <mergeCell ref="H27:J27"/>
    <mergeCell ref="H20:J20"/>
    <mergeCell ref="H21:J21"/>
    <mergeCell ref="F24:G24"/>
    <mergeCell ref="D25:E25"/>
    <mergeCell ref="F25:G25"/>
    <mergeCell ref="H25:J25"/>
    <mergeCell ref="D24:E24"/>
    <mergeCell ref="E56:F56"/>
    <mergeCell ref="G56:H56"/>
    <mergeCell ref="C39:D39"/>
    <mergeCell ref="E41:F41"/>
    <mergeCell ref="E47:F47"/>
    <mergeCell ref="C49:E49"/>
    <mergeCell ref="F49:G49"/>
    <mergeCell ref="C50:E50"/>
    <mergeCell ref="C51:E51"/>
    <mergeCell ref="F52:G52"/>
    <mergeCell ref="C43:D43"/>
    <mergeCell ref="E43:F43"/>
    <mergeCell ref="E54:H54"/>
    <mergeCell ref="C41:D41"/>
    <mergeCell ref="C40:D40"/>
    <mergeCell ref="E40:F40"/>
    <mergeCell ref="D10:E10"/>
    <mergeCell ref="F10:G10"/>
    <mergeCell ref="H10:J10"/>
    <mergeCell ref="D11:E11"/>
    <mergeCell ref="F12:G12"/>
    <mergeCell ref="H11:J11"/>
    <mergeCell ref="H12:J12"/>
    <mergeCell ref="E7:H7"/>
    <mergeCell ref="F26:G26"/>
    <mergeCell ref="H26:J26"/>
    <mergeCell ref="F23:G23"/>
    <mergeCell ref="D22:E22"/>
    <mergeCell ref="D23:E23"/>
    <mergeCell ref="D18:E18"/>
    <mergeCell ref="F18:G18"/>
    <mergeCell ref="D20:E20"/>
    <mergeCell ref="D21:E21"/>
    <mergeCell ref="F20:G20"/>
    <mergeCell ref="F21:G21"/>
    <mergeCell ref="F22:G22"/>
    <mergeCell ref="F14:G14"/>
    <mergeCell ref="D26:E26"/>
    <mergeCell ref="D14:E14"/>
    <mergeCell ref="H15:J15"/>
    <mergeCell ref="F11:G11"/>
    <mergeCell ref="D12:E12"/>
    <mergeCell ref="D19:E19"/>
    <mergeCell ref="F19:G19"/>
    <mergeCell ref="D13:E13"/>
    <mergeCell ref="H19:J19"/>
    <mergeCell ref="D16:E16"/>
    <mergeCell ref="F16:G16"/>
    <mergeCell ref="H16:J16"/>
    <mergeCell ref="D17:E17"/>
    <mergeCell ref="F17:G17"/>
    <mergeCell ref="H17:J17"/>
    <mergeCell ref="H18:J18"/>
    <mergeCell ref="H13:J13"/>
    <mergeCell ref="C46:D46"/>
    <mergeCell ref="E46:F46"/>
    <mergeCell ref="F13:G13"/>
    <mergeCell ref="D27:E27"/>
    <mergeCell ref="F27:G27"/>
    <mergeCell ref="F34:G34"/>
    <mergeCell ref="E38:F38"/>
    <mergeCell ref="D36:E36"/>
    <mergeCell ref="F28:G28"/>
    <mergeCell ref="F29:G29"/>
    <mergeCell ref="F30:G30"/>
    <mergeCell ref="F31:G31"/>
    <mergeCell ref="F32:G32"/>
    <mergeCell ref="D15:E15"/>
    <mergeCell ref="F15:G15"/>
  </mergeCells>
  <phoneticPr fontId="0" type="noConversion"/>
  <pageMargins left="0.59055118110236227" right="0.75" top="1" bottom="1" header="0" footer="0"/>
  <pageSetup paperSize="9" scale="68" orientation="portrait" r:id="rId1"/>
  <headerFooter alignWithMargins="0"/>
  <ignoredErrors>
    <ignoredError sqref="F67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95"/>
  <sheetViews>
    <sheetView showGridLines="0" topLeftCell="A3" zoomScaleNormal="100" workbookViewId="0">
      <selection activeCell="E48" sqref="E48:F48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2" t="s">
        <v>2</v>
      </c>
      <c r="F7" s="302"/>
      <c r="G7" s="302"/>
      <c r="H7" s="302"/>
      <c r="I7" s="84" t="s">
        <v>50</v>
      </c>
      <c r="J7" s="85">
        <f>CARÁT!$F$16</f>
        <v>2024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55"/>
    </row>
    <row r="11" spans="1:11">
      <c r="A11" s="41"/>
      <c r="B11" s="41">
        <v>27</v>
      </c>
      <c r="C11" s="46">
        <v>45546</v>
      </c>
      <c r="D11" s="362" t="s">
        <v>13</v>
      </c>
      <c r="E11" s="362"/>
      <c r="F11" s="305">
        <v>19470</v>
      </c>
      <c r="G11" s="305"/>
      <c r="H11" s="303" t="s">
        <v>10</v>
      </c>
      <c r="I11" s="303"/>
      <c r="J11" s="303"/>
      <c r="K11" s="55"/>
    </row>
    <row r="12" spans="1:11">
      <c r="A12" s="41"/>
      <c r="B12" s="41">
        <v>28</v>
      </c>
      <c r="C12" s="46">
        <v>45546</v>
      </c>
      <c r="D12" s="363" t="s">
        <v>12</v>
      </c>
      <c r="E12" s="363"/>
      <c r="F12" s="305">
        <v>50010</v>
      </c>
      <c r="G12" s="305"/>
      <c r="H12" s="303" t="s">
        <v>10</v>
      </c>
      <c r="I12" s="303"/>
      <c r="J12" s="303"/>
      <c r="K12" s="55"/>
    </row>
    <row r="13" spans="1:11">
      <c r="A13" s="41"/>
      <c r="B13" s="41">
        <v>29</v>
      </c>
      <c r="C13" s="46">
        <v>45548</v>
      </c>
      <c r="D13" s="363" t="s">
        <v>11</v>
      </c>
      <c r="E13" s="363"/>
      <c r="F13" s="305">
        <v>41850</v>
      </c>
      <c r="G13" s="305"/>
      <c r="H13" s="303" t="s">
        <v>10</v>
      </c>
      <c r="I13" s="303"/>
      <c r="J13" s="303"/>
      <c r="K13" s="55"/>
    </row>
    <row r="14" spans="1:11">
      <c r="A14" s="41"/>
      <c r="B14" s="41">
        <v>30</v>
      </c>
      <c r="C14" s="46">
        <v>45563</v>
      </c>
      <c r="D14" s="363" t="s">
        <v>13</v>
      </c>
      <c r="E14" s="363"/>
      <c r="F14" s="305">
        <v>35400</v>
      </c>
      <c r="G14" s="305"/>
      <c r="H14" s="303" t="s">
        <v>10</v>
      </c>
      <c r="I14" s="303"/>
      <c r="J14" s="303"/>
      <c r="K14" s="55"/>
    </row>
    <row r="15" spans="1:11">
      <c r="A15" s="41"/>
      <c r="B15" s="41"/>
      <c r="C15" s="46"/>
      <c r="D15" s="363"/>
      <c r="E15" s="363"/>
      <c r="F15" s="304"/>
      <c r="G15" s="304"/>
      <c r="H15" s="303"/>
      <c r="I15" s="303"/>
      <c r="J15" s="303"/>
      <c r="K15" s="55"/>
    </row>
    <row r="16" spans="1:11">
      <c r="A16" s="41"/>
      <c r="B16" s="50"/>
      <c r="C16" s="46"/>
      <c r="D16" s="363"/>
      <c r="E16" s="363"/>
      <c r="F16" s="304"/>
      <c r="G16" s="304"/>
      <c r="H16" s="303"/>
      <c r="I16" s="303"/>
      <c r="J16" s="303"/>
      <c r="K16" s="55"/>
    </row>
    <row r="17" spans="1:11">
      <c r="A17" s="41"/>
      <c r="B17" s="41"/>
      <c r="C17" s="46"/>
      <c r="D17" s="363"/>
      <c r="E17" s="363"/>
      <c r="F17" s="304"/>
      <c r="G17" s="304"/>
      <c r="H17" s="47"/>
      <c r="I17" s="47"/>
      <c r="J17" s="47"/>
      <c r="K17" s="55"/>
    </row>
    <row r="18" spans="1:11">
      <c r="A18" s="41"/>
      <c r="B18" s="41"/>
      <c r="C18" s="46"/>
      <c r="D18" s="363"/>
      <c r="E18" s="363"/>
      <c r="F18" s="304"/>
      <c r="G18" s="304"/>
      <c r="H18" s="303"/>
      <c r="I18" s="303"/>
      <c r="J18" s="303"/>
      <c r="K18" s="55"/>
    </row>
    <row r="19" spans="1:11">
      <c r="A19" s="41"/>
      <c r="B19" s="41"/>
      <c r="C19" s="46"/>
      <c r="D19" s="363"/>
      <c r="E19" s="363"/>
      <c r="F19" s="304"/>
      <c r="G19" s="304"/>
      <c r="H19" s="303"/>
      <c r="I19" s="303"/>
      <c r="J19" s="303"/>
      <c r="K19" s="55"/>
    </row>
    <row r="20" spans="1:11">
      <c r="A20" s="41"/>
      <c r="B20" s="41"/>
      <c r="C20" s="46"/>
      <c r="D20" s="363"/>
      <c r="E20" s="363"/>
      <c r="F20" s="304"/>
      <c r="G20" s="304"/>
      <c r="H20" s="303"/>
      <c r="I20" s="303"/>
      <c r="J20" s="303"/>
      <c r="K20" s="55"/>
    </row>
    <row r="21" spans="1:11">
      <c r="A21" s="41"/>
      <c r="B21" s="41"/>
      <c r="C21" s="46"/>
      <c r="D21" s="363"/>
      <c r="E21" s="363"/>
      <c r="F21" s="304"/>
      <c r="G21" s="304"/>
      <c r="H21" s="303"/>
      <c r="I21" s="303"/>
      <c r="J21" s="303"/>
      <c r="K21" s="55"/>
    </row>
    <row r="22" spans="1:11">
      <c r="A22" s="41"/>
      <c r="B22" s="41"/>
      <c r="C22" s="46"/>
      <c r="D22" s="363"/>
      <c r="E22" s="363"/>
      <c r="F22" s="304"/>
      <c r="G22" s="304"/>
      <c r="H22" s="303"/>
      <c r="I22" s="303"/>
      <c r="J22" s="303"/>
      <c r="K22" s="55"/>
    </row>
    <row r="23" spans="1:11">
      <c r="A23" s="41"/>
      <c r="B23" s="41"/>
      <c r="C23" s="46"/>
      <c r="D23" s="363"/>
      <c r="E23" s="363"/>
      <c r="F23" s="304"/>
      <c r="G23" s="304"/>
      <c r="H23" s="303"/>
      <c r="I23" s="303"/>
      <c r="J23" s="303"/>
      <c r="K23" s="55"/>
    </row>
    <row r="24" spans="1:11">
      <c r="A24" s="41"/>
      <c r="B24" s="41"/>
      <c r="C24" s="46"/>
      <c r="D24" s="363"/>
      <c r="E24" s="363"/>
      <c r="F24" s="304"/>
      <c r="G24" s="304"/>
      <c r="H24" s="303"/>
      <c r="I24" s="303"/>
      <c r="J24" s="303"/>
      <c r="K24" s="55"/>
    </row>
    <row r="25" spans="1:11">
      <c r="A25" s="41"/>
      <c r="B25" s="41"/>
      <c r="C25" s="46"/>
      <c r="D25" s="363"/>
      <c r="E25" s="363"/>
      <c r="F25" s="304"/>
      <c r="G25" s="304"/>
      <c r="H25" s="303"/>
      <c r="I25" s="303"/>
      <c r="J25" s="303"/>
      <c r="K25" s="55"/>
    </row>
    <row r="26" spans="1:11">
      <c r="A26" s="41"/>
      <c r="B26" s="41"/>
      <c r="C26" s="46"/>
      <c r="D26" s="363"/>
      <c r="E26" s="363"/>
      <c r="F26" s="304"/>
      <c r="G26" s="304"/>
      <c r="H26" s="303"/>
      <c r="I26" s="303"/>
      <c r="J26" s="303"/>
      <c r="K26" s="55"/>
    </row>
    <row r="27" spans="1:11">
      <c r="A27" s="41"/>
      <c r="B27" s="41"/>
      <c r="C27" s="46"/>
      <c r="D27" s="363"/>
      <c r="E27" s="363"/>
      <c r="F27" s="304"/>
      <c r="G27" s="304"/>
      <c r="H27" s="303"/>
      <c r="I27" s="303"/>
      <c r="J27" s="303"/>
      <c r="K27" s="55"/>
    </row>
    <row r="28" spans="1:11">
      <c r="A28" s="41"/>
      <c r="B28" s="41"/>
      <c r="C28" s="46"/>
      <c r="D28" s="363"/>
      <c r="E28" s="363"/>
      <c r="F28" s="304"/>
      <c r="G28" s="304"/>
      <c r="H28" s="303"/>
      <c r="I28" s="303"/>
      <c r="J28" s="303"/>
      <c r="K28" s="55"/>
    </row>
    <row r="29" spans="1:11">
      <c r="A29" s="41"/>
      <c r="B29" s="41"/>
      <c r="C29" s="46"/>
      <c r="D29" s="363"/>
      <c r="E29" s="363"/>
      <c r="F29" s="304"/>
      <c r="G29" s="304"/>
      <c r="H29" s="303"/>
      <c r="I29" s="303"/>
      <c r="J29" s="303"/>
      <c r="K29" s="55"/>
    </row>
    <row r="30" spans="1:11">
      <c r="A30" s="41"/>
      <c r="B30" s="41"/>
      <c r="C30" s="46"/>
      <c r="D30" s="363"/>
      <c r="E30" s="363"/>
      <c r="F30" s="304"/>
      <c r="G30" s="304"/>
      <c r="H30" s="303"/>
      <c r="I30" s="303"/>
      <c r="J30" s="303"/>
      <c r="K30" s="55"/>
    </row>
    <row r="31" spans="1:11">
      <c r="A31" s="41"/>
      <c r="B31" s="41"/>
      <c r="C31" s="46"/>
      <c r="D31" s="363"/>
      <c r="E31" s="363"/>
      <c r="F31" s="304"/>
      <c r="G31" s="304"/>
      <c r="H31" s="346"/>
      <c r="I31" s="346"/>
      <c r="J31" s="346"/>
      <c r="K31" s="55"/>
    </row>
    <row r="32" spans="1:11">
      <c r="A32" s="41"/>
      <c r="B32" s="41"/>
      <c r="C32" s="46"/>
      <c r="D32" s="363"/>
      <c r="E32" s="363"/>
      <c r="F32" s="304"/>
      <c r="G32" s="304"/>
      <c r="H32" s="346"/>
      <c r="I32" s="346"/>
      <c r="J32" s="346"/>
      <c r="K32" s="55"/>
    </row>
    <row r="33" spans="1:11">
      <c r="A33" s="41"/>
      <c r="B33" s="41"/>
      <c r="C33" s="46"/>
      <c r="D33" s="363"/>
      <c r="E33" s="363"/>
      <c r="F33" s="304"/>
      <c r="G33" s="304"/>
      <c r="H33" s="346"/>
      <c r="I33" s="346"/>
      <c r="J33" s="346"/>
      <c r="K33" s="55"/>
    </row>
    <row r="34" spans="1:11">
      <c r="A34" s="41"/>
      <c r="B34" s="41"/>
      <c r="C34" s="46"/>
      <c r="D34" s="363"/>
      <c r="E34" s="363"/>
      <c r="F34" s="304"/>
      <c r="G34" s="304"/>
      <c r="H34" s="346"/>
      <c r="I34" s="346"/>
      <c r="J34" s="346"/>
      <c r="K34" s="55"/>
    </row>
    <row r="35" spans="1:11">
      <c r="A35" s="41"/>
      <c r="B35" s="41"/>
      <c r="C35" s="46"/>
      <c r="D35" s="346"/>
      <c r="E35" s="346"/>
      <c r="F35" s="304"/>
      <c r="G35" s="304"/>
      <c r="H35" s="346"/>
      <c r="I35" s="346"/>
      <c r="J35" s="346"/>
      <c r="K35" s="55"/>
    </row>
    <row r="36" spans="1:11">
      <c r="A36" s="41"/>
      <c r="B36" s="41"/>
      <c r="C36" s="46"/>
      <c r="D36" s="346"/>
      <c r="E36" s="346"/>
      <c r="F36" s="304"/>
      <c r="G36" s="304"/>
      <c r="H36" s="346"/>
      <c r="I36" s="346"/>
      <c r="J36" s="346"/>
      <c r="K36" s="55"/>
    </row>
    <row r="37" spans="1:11">
      <c r="A37" s="41"/>
      <c r="B37" s="41"/>
      <c r="C37" s="46"/>
      <c r="D37" s="363"/>
      <c r="E37" s="363"/>
      <c r="F37" s="304"/>
      <c r="G37" s="304"/>
      <c r="H37" s="346"/>
      <c r="I37" s="346"/>
      <c r="J37" s="346"/>
      <c r="K37" s="55"/>
    </row>
    <row r="38" spans="1:11">
      <c r="A38" s="41"/>
      <c r="B38" s="41"/>
      <c r="C38" s="46"/>
      <c r="D38" s="346"/>
      <c r="E38" s="346"/>
      <c r="F38" s="304"/>
      <c r="G38" s="304"/>
      <c r="H38" s="346"/>
      <c r="I38" s="346"/>
      <c r="J38" s="346"/>
      <c r="K38" s="55"/>
    </row>
    <row r="39" spans="1:11">
      <c r="A39" s="41"/>
      <c r="B39" s="41"/>
      <c r="C39" s="46"/>
      <c r="D39" s="346"/>
      <c r="E39" s="346"/>
      <c r="F39" s="304"/>
      <c r="G39" s="304"/>
      <c r="H39" s="346"/>
      <c r="I39" s="346"/>
      <c r="J39" s="346"/>
      <c r="K39" s="55"/>
    </row>
    <row r="40" spans="1:11">
      <c r="A40" s="41"/>
      <c r="B40" s="41"/>
      <c r="C40" s="46"/>
      <c r="D40" s="346"/>
      <c r="E40" s="346"/>
      <c r="F40" s="318"/>
      <c r="G40" s="318"/>
      <c r="H40" s="346"/>
      <c r="I40" s="346"/>
      <c r="J40" s="346"/>
      <c r="K40" s="55"/>
    </row>
    <row r="41" spans="1:11">
      <c r="A41" s="41"/>
      <c r="B41" s="41"/>
      <c r="C41" s="51"/>
      <c r="D41" s="52"/>
      <c r="E41" s="52"/>
      <c r="F41" s="329">
        <f>SUM(F11:G40)</f>
        <v>146730</v>
      </c>
      <c r="G41" s="330"/>
      <c r="H41" s="53"/>
      <c r="I41" s="53"/>
      <c r="J41" s="53"/>
      <c r="K41" s="55"/>
    </row>
    <row r="42" spans="1:11">
      <c r="A42" s="41"/>
      <c r="B42" s="41"/>
      <c r="C42" s="55"/>
      <c r="D42" s="55"/>
      <c r="E42" s="56"/>
      <c r="F42" s="55"/>
      <c r="G42" s="55"/>
      <c r="H42" s="55"/>
      <c r="I42" s="55"/>
      <c r="J42" s="55"/>
      <c r="K42" s="55"/>
    </row>
    <row r="43" spans="1:11">
      <c r="A43" s="41"/>
      <c r="B43" s="41"/>
      <c r="C43" s="55"/>
      <c r="D43" s="319" t="s">
        <v>14</v>
      </c>
      <c r="E43" s="319"/>
      <c r="F43" s="55"/>
      <c r="G43" s="58">
        <f>F41/1000</f>
        <v>146.72999999999999</v>
      </c>
      <c r="H43" s="55"/>
      <c r="I43" s="55"/>
      <c r="J43" s="55"/>
      <c r="K43" s="55"/>
    </row>
    <row r="44" spans="1:11">
      <c r="A44" s="41"/>
      <c r="B44" s="41"/>
      <c r="C44" s="55"/>
      <c r="D44" s="55"/>
      <c r="E44" s="56"/>
      <c r="F44" s="55"/>
      <c r="G44" s="55"/>
      <c r="H44" s="55"/>
      <c r="I44" s="55"/>
      <c r="J44" s="55"/>
      <c r="K44" s="55"/>
    </row>
    <row r="45" spans="1:11">
      <c r="A45" s="41"/>
      <c r="B45" s="41"/>
      <c r="C45" s="55"/>
      <c r="D45" s="55"/>
      <c r="E45" s="56"/>
      <c r="F45" s="55"/>
      <c r="G45" s="55"/>
      <c r="H45" s="55"/>
      <c r="I45" s="55"/>
      <c r="J45" s="55"/>
      <c r="K45" s="55"/>
    </row>
    <row r="46" spans="1:11">
      <c r="A46" s="41"/>
      <c r="B46" s="41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41"/>
      <c r="B47" s="41"/>
      <c r="C47" s="317" t="s">
        <v>15</v>
      </c>
      <c r="D47" s="317"/>
      <c r="E47" s="317" t="s">
        <v>16</v>
      </c>
      <c r="F47" s="317"/>
      <c r="G47" s="59" t="s">
        <v>17</v>
      </c>
      <c r="H47" s="59" t="s">
        <v>18</v>
      </c>
      <c r="I47" s="55"/>
      <c r="J47" s="55"/>
      <c r="K47" s="55"/>
    </row>
    <row r="48" spans="1:11">
      <c r="A48" s="41"/>
      <c r="B48" s="41"/>
      <c r="C48" s="303" t="s">
        <v>19</v>
      </c>
      <c r="D48" s="303"/>
      <c r="E48" s="364">
        <f>F11+F12+F13+F14</f>
        <v>146730</v>
      </c>
      <c r="F48" s="364"/>
      <c r="G48" s="61">
        <f>+E48/E53</f>
        <v>1</v>
      </c>
      <c r="H48" s="62">
        <v>4</v>
      </c>
      <c r="I48" s="55"/>
      <c r="J48" s="55"/>
      <c r="K48" s="55"/>
    </row>
    <row r="49" spans="1:11">
      <c r="A49" s="41"/>
      <c r="B49" s="41"/>
      <c r="C49" s="303"/>
      <c r="D49" s="303"/>
      <c r="E49" s="364"/>
      <c r="F49" s="364"/>
      <c r="G49" s="61">
        <f>+E49/E53</f>
        <v>0</v>
      </c>
      <c r="H49" s="62"/>
      <c r="I49" s="55"/>
      <c r="J49" s="55"/>
      <c r="K49" s="55"/>
    </row>
    <row r="50" spans="1:11">
      <c r="A50" s="41"/>
      <c r="B50" s="41"/>
      <c r="C50" s="303"/>
      <c r="D50" s="303"/>
      <c r="E50" s="364"/>
      <c r="F50" s="364"/>
      <c r="G50" s="61">
        <f>+E50/E53</f>
        <v>0</v>
      </c>
      <c r="H50" s="62"/>
      <c r="I50" s="55"/>
      <c r="J50" s="55"/>
      <c r="K50" s="55"/>
    </row>
    <row r="51" spans="1:11">
      <c r="A51" s="41"/>
      <c r="B51" s="41"/>
      <c r="C51" s="303"/>
      <c r="D51" s="303"/>
      <c r="E51" s="364"/>
      <c r="F51" s="364"/>
      <c r="G51" s="61">
        <f>+E51/E53</f>
        <v>0</v>
      </c>
      <c r="H51" s="62"/>
      <c r="I51" s="55"/>
      <c r="J51" s="55"/>
      <c r="K51" s="55"/>
    </row>
    <row r="52" spans="1:11">
      <c r="A52" s="41"/>
      <c r="B52" s="41"/>
      <c r="C52" s="303"/>
      <c r="D52" s="303"/>
      <c r="E52" s="304"/>
      <c r="F52" s="304"/>
      <c r="G52" s="61">
        <f>+E52/E53</f>
        <v>0</v>
      </c>
      <c r="H52" s="62"/>
      <c r="I52" s="55"/>
      <c r="J52" s="55"/>
      <c r="K52" s="55"/>
    </row>
    <row r="53" spans="1:11">
      <c r="A53" s="41"/>
      <c r="B53" s="41"/>
      <c r="C53" s="64"/>
      <c r="D53" s="57" t="s">
        <v>21</v>
      </c>
      <c r="E53" s="365">
        <f>SUM(E48:F52)</f>
        <v>146730</v>
      </c>
      <c r="F53" s="365"/>
      <c r="G53" s="65">
        <f>SUM(G48:G52)</f>
        <v>1</v>
      </c>
      <c r="H53" s="66">
        <f>SUM(H48:H52)</f>
        <v>4</v>
      </c>
      <c r="I53" s="55"/>
      <c r="J53" s="55"/>
      <c r="K53" s="55"/>
    </row>
    <row r="54" spans="1:11">
      <c r="A54" s="41"/>
      <c r="B54" s="41"/>
      <c r="C54" s="67"/>
      <c r="D54" s="67"/>
      <c r="E54" s="52"/>
      <c r="F54" s="52"/>
      <c r="G54" s="52"/>
      <c r="H54" s="55"/>
      <c r="I54" s="55"/>
      <c r="J54" s="55"/>
      <c r="K54" s="55"/>
    </row>
    <row r="55" spans="1:11">
      <c r="A55" s="41"/>
      <c r="B55" s="41"/>
      <c r="C55" s="55"/>
      <c r="D55" s="55"/>
      <c r="E55" s="54"/>
      <c r="F55" s="69"/>
      <c r="G55" s="70"/>
      <c r="H55" s="55"/>
      <c r="I55" s="55"/>
      <c r="J55" s="55"/>
      <c r="K55" s="55"/>
    </row>
    <row r="56" spans="1:11">
      <c r="A56" s="41"/>
      <c r="B56" s="41"/>
      <c r="C56" s="68"/>
      <c r="D56" s="55"/>
      <c r="E56" s="54"/>
      <c r="F56" s="69"/>
      <c r="G56" s="70"/>
      <c r="H56" s="55"/>
      <c r="I56" s="55"/>
      <c r="J56" s="55"/>
      <c r="K56" s="55"/>
    </row>
    <row r="57" spans="1:11">
      <c r="A57" s="41"/>
      <c r="B57" s="41"/>
      <c r="C57" s="313" t="s">
        <v>8</v>
      </c>
      <c r="D57" s="314"/>
      <c r="E57" s="315"/>
      <c r="F57" s="316" t="s">
        <v>7</v>
      </c>
      <c r="G57" s="317"/>
      <c r="H57" s="59" t="s">
        <v>17</v>
      </c>
      <c r="I57" s="55"/>
      <c r="J57" s="55"/>
      <c r="K57" s="55"/>
    </row>
    <row r="58" spans="1:11">
      <c r="A58" s="41"/>
      <c r="B58" s="41"/>
      <c r="C58" s="303" t="s">
        <v>22</v>
      </c>
      <c r="D58" s="303"/>
      <c r="E58" s="303"/>
      <c r="F58" s="49"/>
      <c r="G58" s="49"/>
      <c r="H58" s="61">
        <f>+G58/F60</f>
        <v>0</v>
      </c>
      <c r="I58" s="55"/>
      <c r="J58" s="55"/>
      <c r="K58" s="55"/>
    </row>
    <row r="59" spans="1:11">
      <c r="A59" s="41"/>
      <c r="B59" s="41"/>
      <c r="C59" s="303" t="s">
        <v>23</v>
      </c>
      <c r="D59" s="303"/>
      <c r="E59" s="303"/>
      <c r="F59" s="304">
        <f>F41</f>
        <v>146730</v>
      </c>
      <c r="G59" s="304"/>
      <c r="H59" s="61">
        <f>+F59/F60</f>
        <v>1</v>
      </c>
      <c r="I59" s="55"/>
      <c r="J59" s="55"/>
      <c r="K59" s="55"/>
    </row>
    <row r="60" spans="1:11">
      <c r="A60" s="41"/>
      <c r="B60" s="41"/>
      <c r="C60" s="55"/>
      <c r="D60" s="55" t="s">
        <v>21</v>
      </c>
      <c r="E60" s="55"/>
      <c r="F60" s="308">
        <f>SUM(F58:G59)</f>
        <v>146730</v>
      </c>
      <c r="G60" s="308"/>
      <c r="H60" s="65">
        <f>SUM(H58:H59)</f>
        <v>1</v>
      </c>
      <c r="I60" s="55"/>
      <c r="J60" s="55"/>
      <c r="K60" s="55"/>
    </row>
    <row r="61" spans="1:11">
      <c r="A61" s="41"/>
      <c r="B61" s="41"/>
      <c r="C61" s="55"/>
      <c r="D61" s="55"/>
      <c r="E61" s="55"/>
      <c r="F61" s="88"/>
      <c r="G61" s="88"/>
      <c r="H61" s="89"/>
      <c r="I61" s="55"/>
      <c r="J61" s="55"/>
      <c r="K61" s="55"/>
    </row>
    <row r="62" spans="1:11">
      <c r="A62" s="41"/>
      <c r="B62" s="41"/>
      <c r="C62" s="55"/>
      <c r="D62" s="55"/>
      <c r="E62" s="55"/>
      <c r="F62" s="88"/>
      <c r="G62" s="88"/>
      <c r="H62" s="89"/>
      <c r="I62" s="55"/>
      <c r="J62" s="55"/>
      <c r="K62" s="55"/>
    </row>
    <row r="63" spans="1:11">
      <c r="A63" s="41"/>
      <c r="B63" s="41"/>
      <c r="C63" s="55"/>
      <c r="D63" s="55"/>
      <c r="E63" s="55"/>
      <c r="F63" s="55"/>
      <c r="G63" s="55"/>
      <c r="H63" s="71"/>
      <c r="I63" s="55"/>
      <c r="J63" s="55"/>
      <c r="K63" s="55"/>
    </row>
    <row r="64" spans="1:11">
      <c r="A64" s="41"/>
      <c r="B64" s="41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41"/>
      <c r="B65" s="41"/>
      <c r="C65" s="55"/>
      <c r="D65" s="55"/>
      <c r="E65" s="55"/>
      <c r="F65" s="55"/>
      <c r="G65" s="55"/>
      <c r="H65" s="126"/>
      <c r="I65" s="55"/>
      <c r="J65" s="55"/>
      <c r="K65" s="55"/>
    </row>
    <row r="66" spans="1:11">
      <c r="A66" s="41"/>
      <c r="B66" s="41"/>
      <c r="C66" s="55"/>
      <c r="D66" s="54"/>
      <c r="E66" s="107"/>
      <c r="F66" s="55"/>
      <c r="G66" s="55"/>
      <c r="H66" s="55"/>
      <c r="I66" s="55"/>
      <c r="J66" s="55"/>
      <c r="K66" s="55"/>
    </row>
    <row r="67" spans="1:11">
      <c r="A67" s="41"/>
      <c r="B67" s="41"/>
      <c r="C67" s="55"/>
      <c r="D67" s="55"/>
      <c r="E67" s="309" t="s">
        <v>24</v>
      </c>
      <c r="F67" s="309"/>
      <c r="G67" s="309"/>
      <c r="H67" s="309"/>
      <c r="I67" s="55"/>
      <c r="J67" s="55"/>
      <c r="K67" s="55"/>
    </row>
    <row r="68" spans="1:11">
      <c r="A68" s="41"/>
      <c r="B68" s="41"/>
      <c r="C68" s="55"/>
      <c r="D68" s="108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109" t="s">
        <v>25</v>
      </c>
      <c r="E69" s="336" t="s">
        <v>26</v>
      </c>
      <c r="F69" s="337"/>
      <c r="G69" s="336" t="s">
        <v>27</v>
      </c>
      <c r="H69" s="337"/>
      <c r="I69" s="55"/>
      <c r="J69" s="55"/>
      <c r="K69" s="55"/>
    </row>
    <row r="70" spans="1:11">
      <c r="A70" s="55"/>
      <c r="B70" s="55"/>
      <c r="C70" s="55"/>
      <c r="D70" s="110" t="s">
        <v>28</v>
      </c>
      <c r="E70" s="118" t="s">
        <v>29</v>
      </c>
      <c r="F70" s="118" t="s">
        <v>30</v>
      </c>
      <c r="G70" s="119" t="s">
        <v>29</v>
      </c>
      <c r="H70" s="119" t="s">
        <v>30</v>
      </c>
      <c r="I70" s="55"/>
      <c r="J70" s="55"/>
      <c r="K70" s="55"/>
    </row>
    <row r="71" spans="1:11">
      <c r="A71" s="55"/>
      <c r="B71" s="55"/>
      <c r="C71" s="55"/>
      <c r="D71" s="90" t="s">
        <v>31</v>
      </c>
      <c r="E71" s="91">
        <f>Comparativos!$BA$13</f>
        <v>123.39</v>
      </c>
      <c r="F71" s="92">
        <f>Comparativos!$BB$13</f>
        <v>4</v>
      </c>
      <c r="G71" s="127">
        <f>ENE!$G$46</f>
        <v>417.87</v>
      </c>
      <c r="H71" s="92">
        <f>ENE!$H$55</f>
        <v>8</v>
      </c>
      <c r="I71" s="55"/>
      <c r="J71" s="55"/>
      <c r="K71" s="55"/>
    </row>
    <row r="72" spans="1:11">
      <c r="A72" s="55"/>
      <c r="B72" s="55"/>
      <c r="C72" s="55"/>
      <c r="D72" s="90" t="s">
        <v>33</v>
      </c>
      <c r="E72" s="121">
        <f>Comparativos!$BA$14</f>
        <v>176.79</v>
      </c>
      <c r="F72" s="113">
        <f>Comparativos!$BB$14</f>
        <v>6</v>
      </c>
      <c r="G72" s="100">
        <f>FEB!$G$48</f>
        <v>127.8</v>
      </c>
      <c r="H72" s="101">
        <f>FEB!$H$57</f>
        <v>2</v>
      </c>
      <c r="I72" s="55"/>
      <c r="J72" s="55"/>
      <c r="K72" s="55"/>
    </row>
    <row r="73" spans="1:11">
      <c r="A73" s="55"/>
      <c r="B73" s="55"/>
      <c r="C73" s="55"/>
      <c r="D73" s="90" t="s">
        <v>35</v>
      </c>
      <c r="E73" s="121">
        <f>Comparativos!$BA$15</f>
        <v>370.56</v>
      </c>
      <c r="F73" s="113">
        <f>Comparativos!$BB$15</f>
        <v>11</v>
      </c>
      <c r="G73" s="100">
        <f>MAR!$G$43</f>
        <v>78.06</v>
      </c>
      <c r="H73" s="101">
        <f>MAR!$H$51</f>
        <v>2</v>
      </c>
      <c r="I73" s="55"/>
      <c r="J73" s="55"/>
      <c r="K73" s="55"/>
    </row>
    <row r="74" spans="1:11">
      <c r="A74" s="55"/>
      <c r="B74" s="55"/>
      <c r="C74" s="55"/>
      <c r="D74" s="90" t="s">
        <v>37</v>
      </c>
      <c r="E74" s="121">
        <f>Comparativos!$BA$16</f>
        <v>201.99</v>
      </c>
      <c r="F74" s="113">
        <f>Comparativos!$BB$16</f>
        <v>8</v>
      </c>
      <c r="G74" s="100">
        <f>ABR!$G$41</f>
        <v>0</v>
      </c>
      <c r="H74" s="101">
        <f>ABR!$H$50</f>
        <v>0</v>
      </c>
      <c r="I74" s="55"/>
      <c r="J74" s="55"/>
      <c r="K74" s="55"/>
    </row>
    <row r="75" spans="1:11">
      <c r="A75" s="55"/>
      <c r="B75" s="55"/>
      <c r="C75" s="55"/>
      <c r="D75" s="90" t="s">
        <v>39</v>
      </c>
      <c r="E75" s="121">
        <f>Comparativos!$BA$17</f>
        <v>60.9</v>
      </c>
      <c r="F75" s="113">
        <f>Comparativos!$BB$17</f>
        <v>2</v>
      </c>
      <c r="G75" s="54">
        <f>MAY!$G$44</f>
        <v>0</v>
      </c>
      <c r="H75" s="113">
        <f>MAY!$H$52</f>
        <v>0</v>
      </c>
      <c r="I75" s="55"/>
      <c r="J75" s="55"/>
      <c r="K75" s="55"/>
    </row>
    <row r="76" spans="1:11">
      <c r="A76" s="55"/>
      <c r="B76" s="55"/>
      <c r="C76" s="55"/>
      <c r="D76" s="90" t="s">
        <v>41</v>
      </c>
      <c r="E76" s="121">
        <f>Comparativos!$BA$18</f>
        <v>0</v>
      </c>
      <c r="F76" s="113">
        <f>Comparativos!$BB$18</f>
        <v>0</v>
      </c>
      <c r="G76" s="54">
        <f>JUN!$G$33</f>
        <v>32.46</v>
      </c>
      <c r="H76" s="113">
        <f>JUN!$H$42</f>
        <v>1</v>
      </c>
      <c r="I76" s="55"/>
      <c r="J76" s="55"/>
      <c r="K76" s="55"/>
    </row>
    <row r="77" spans="1:11">
      <c r="A77" s="55"/>
      <c r="B77" s="55"/>
      <c r="C77" s="55"/>
      <c r="D77" s="90" t="s">
        <v>47</v>
      </c>
      <c r="E77" s="121">
        <f>Comparativos!$BA$20</f>
        <v>0</v>
      </c>
      <c r="F77" s="113">
        <f>Comparativos!$BB$20</f>
        <v>0</v>
      </c>
      <c r="G77" s="54">
        <f>JUL!$G$33</f>
        <v>79.47</v>
      </c>
      <c r="H77" s="113">
        <f>JUL!$H$42</f>
        <v>1</v>
      </c>
      <c r="I77" s="55"/>
      <c r="J77" s="55"/>
      <c r="K77" s="55"/>
    </row>
    <row r="78" spans="1:11">
      <c r="A78" s="55"/>
      <c r="B78" s="55"/>
      <c r="C78" s="55"/>
      <c r="D78" s="90" t="s">
        <v>49</v>
      </c>
      <c r="E78" s="121">
        <f>Comparativos!$BA$21</f>
        <v>132.38999999999999</v>
      </c>
      <c r="F78" s="113">
        <f>Comparativos!$BB$21</f>
        <v>4</v>
      </c>
      <c r="G78" s="54">
        <f>AGO!$G$36</f>
        <v>41.4</v>
      </c>
      <c r="H78" s="113">
        <f>AGO!$H$47</f>
        <v>2</v>
      </c>
      <c r="I78" s="55"/>
      <c r="J78" s="55"/>
      <c r="K78" s="55"/>
    </row>
    <row r="79" spans="1:11">
      <c r="A79" s="55"/>
      <c r="B79" s="55"/>
      <c r="C79" s="55"/>
      <c r="D79" s="94" t="s">
        <v>51</v>
      </c>
      <c r="E79" s="114">
        <f>Comparativos!$BA$22</f>
        <v>142.59</v>
      </c>
      <c r="F79" s="117">
        <f>Comparativos!$BB$22</f>
        <v>3</v>
      </c>
      <c r="G79" s="116">
        <f>G43</f>
        <v>146.72999999999999</v>
      </c>
      <c r="H79" s="117">
        <f>H53</f>
        <v>4</v>
      </c>
      <c r="I79" s="55"/>
      <c r="J79" s="55"/>
      <c r="K79" s="55"/>
    </row>
    <row r="80" spans="1:11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</row>
    <row r="81" spans="1:11">
      <c r="A81" s="55"/>
      <c r="B81" s="55"/>
      <c r="C81" s="55"/>
      <c r="D81" s="55"/>
      <c r="E81" s="79">
        <f>SUM(E71:E80)</f>
        <v>1208.6099999999999</v>
      </c>
      <c r="F81" s="80">
        <f>SUM(F71:F80)</f>
        <v>38</v>
      </c>
      <c r="G81" s="79">
        <f>SUM(G71:G79)</f>
        <v>923.79000000000008</v>
      </c>
      <c r="H81" s="80">
        <f>SUM(H71:H79)</f>
        <v>20</v>
      </c>
      <c r="I81" s="55"/>
      <c r="J81" s="55"/>
      <c r="K81" s="55"/>
    </row>
    <row r="82" spans="1:11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1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1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1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1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1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1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1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1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1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1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1">
      <c r="A93" s="55"/>
      <c r="B93" s="55"/>
      <c r="C93" s="55"/>
      <c r="D93" s="55"/>
      <c r="E93" s="55"/>
      <c r="F93" s="55"/>
      <c r="G93" s="55"/>
      <c r="H93" s="55"/>
      <c r="I93" s="55"/>
      <c r="J93" s="55"/>
    </row>
    <row r="94" spans="1:11">
      <c r="A94" s="55"/>
      <c r="B94" s="55"/>
      <c r="C94" s="55"/>
      <c r="D94" s="55"/>
      <c r="E94" s="55"/>
      <c r="F94" s="55"/>
      <c r="G94" s="55"/>
      <c r="H94" s="55"/>
      <c r="I94" s="55"/>
      <c r="J94" s="55"/>
    </row>
    <row r="95" spans="1:11">
      <c r="A95" s="55"/>
      <c r="B95" s="55"/>
      <c r="C95" s="55"/>
      <c r="D95" s="55"/>
      <c r="E95" s="55"/>
      <c r="F95" s="55"/>
      <c r="G95" s="55"/>
      <c r="H95" s="55"/>
      <c r="I95" s="55"/>
      <c r="J95" s="55"/>
    </row>
  </sheetData>
  <mergeCells count="117">
    <mergeCell ref="H33:J33"/>
    <mergeCell ref="H29:J29"/>
    <mergeCell ref="F34:G34"/>
    <mergeCell ref="E48:F48"/>
    <mergeCell ref="C49:D49"/>
    <mergeCell ref="H40:J40"/>
    <mergeCell ref="H36:J36"/>
    <mergeCell ref="H35:J35"/>
    <mergeCell ref="H37:J37"/>
    <mergeCell ref="H38:J38"/>
    <mergeCell ref="D38:E38"/>
    <mergeCell ref="F38:G38"/>
    <mergeCell ref="D39:E39"/>
    <mergeCell ref="D40:E40"/>
    <mergeCell ref="F39:G39"/>
    <mergeCell ref="F40:G40"/>
    <mergeCell ref="C48:D48"/>
    <mergeCell ref="H39:J39"/>
    <mergeCell ref="H34:J34"/>
    <mergeCell ref="D33:E33"/>
    <mergeCell ref="F33:G33"/>
    <mergeCell ref="D32:E32"/>
    <mergeCell ref="F32:G32"/>
    <mergeCell ref="D25:E25"/>
    <mergeCell ref="F28:G28"/>
    <mergeCell ref="F27:G27"/>
    <mergeCell ref="D14:E14"/>
    <mergeCell ref="F14:G14"/>
    <mergeCell ref="D15:E15"/>
    <mergeCell ref="D20:E20"/>
    <mergeCell ref="F20:G20"/>
    <mergeCell ref="E52:F52"/>
    <mergeCell ref="D35:E35"/>
    <mergeCell ref="F35:G35"/>
    <mergeCell ref="E50:F50"/>
    <mergeCell ref="D36:E36"/>
    <mergeCell ref="F36:G36"/>
    <mergeCell ref="E49:F49"/>
    <mergeCell ref="C47:D47"/>
    <mergeCell ref="D43:E43"/>
    <mergeCell ref="E47:F47"/>
    <mergeCell ref="F41:G41"/>
    <mergeCell ref="C52:D52"/>
    <mergeCell ref="D37:E37"/>
    <mergeCell ref="F37:G37"/>
    <mergeCell ref="E69:F69"/>
    <mergeCell ref="G69:H69"/>
    <mergeCell ref="D21:E21"/>
    <mergeCell ref="F21:G21"/>
    <mergeCell ref="H21:J21"/>
    <mergeCell ref="E53:F53"/>
    <mergeCell ref="C51:D51"/>
    <mergeCell ref="E51:F51"/>
    <mergeCell ref="C50:D50"/>
    <mergeCell ref="D34:E34"/>
    <mergeCell ref="C58:E58"/>
    <mergeCell ref="C59:E59"/>
    <mergeCell ref="F60:G60"/>
    <mergeCell ref="E67:H67"/>
    <mergeCell ref="F59:G59"/>
    <mergeCell ref="C57:E57"/>
    <mergeCell ref="F57:G57"/>
    <mergeCell ref="D22:E22"/>
    <mergeCell ref="F22:G22"/>
    <mergeCell ref="D23:E23"/>
    <mergeCell ref="D31:E31"/>
    <mergeCell ref="D27:E27"/>
    <mergeCell ref="D30:E30"/>
    <mergeCell ref="F30:G30"/>
    <mergeCell ref="F10:G10"/>
    <mergeCell ref="H10:J10"/>
    <mergeCell ref="D11:E11"/>
    <mergeCell ref="F11:G11"/>
    <mergeCell ref="F15:G15"/>
    <mergeCell ref="F24:G24"/>
    <mergeCell ref="H23:J23"/>
    <mergeCell ref="F23:G23"/>
    <mergeCell ref="D24:E24"/>
    <mergeCell ref="H24:J24"/>
    <mergeCell ref="H22:J22"/>
    <mergeCell ref="D16:E16"/>
    <mergeCell ref="F16:G16"/>
    <mergeCell ref="D17:E17"/>
    <mergeCell ref="F17:G17"/>
    <mergeCell ref="D12:E12"/>
    <mergeCell ref="F12:G12"/>
    <mergeCell ref="D19:E19"/>
    <mergeCell ref="F19:G19"/>
    <mergeCell ref="H19:J19"/>
    <mergeCell ref="H11:J11"/>
    <mergeCell ref="D13:E13"/>
    <mergeCell ref="H12:J12"/>
    <mergeCell ref="F13:G13"/>
    <mergeCell ref="H13:J13"/>
    <mergeCell ref="H14:J14"/>
    <mergeCell ref="H15:J15"/>
    <mergeCell ref="H16:J16"/>
    <mergeCell ref="E7:H7"/>
    <mergeCell ref="H32:J32"/>
    <mergeCell ref="H30:J30"/>
    <mergeCell ref="D29:E29"/>
    <mergeCell ref="F25:G25"/>
    <mergeCell ref="H25:J25"/>
    <mergeCell ref="F31:G31"/>
    <mergeCell ref="H31:J31"/>
    <mergeCell ref="F29:G29"/>
    <mergeCell ref="H20:J20"/>
    <mergeCell ref="H26:J26"/>
    <mergeCell ref="D18:E18"/>
    <mergeCell ref="F18:G18"/>
    <mergeCell ref="H18:J18"/>
    <mergeCell ref="D26:E26"/>
    <mergeCell ref="F26:G26"/>
    <mergeCell ref="H27:J27"/>
    <mergeCell ref="D28:E28"/>
    <mergeCell ref="H28:J28"/>
    <mergeCell ref="D10:E10"/>
  </mergeCells>
  <phoneticPr fontId="0" type="noConversion"/>
  <pageMargins left="0.59055118110236227" right="0.75" top="1" bottom="1" header="0" footer="0"/>
  <pageSetup paperSize="9" scale="44" orientation="portrait" horizontalDpi="4294967293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29"/>
  <sheetViews>
    <sheetView showGridLines="0" topLeftCell="A4" zoomScaleNormal="100" workbookViewId="0">
      <selection activeCell="H11" sqref="H11:J11"/>
    </sheetView>
  </sheetViews>
  <sheetFormatPr defaultColWidth="11.42578125" defaultRowHeight="12"/>
  <cols>
    <col min="1" max="2" width="4.28515625" style="105" customWidth="1"/>
    <col min="3" max="10" width="12.42578125" style="105" customWidth="1"/>
    <col min="11" max="16384" width="11.425781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2" t="s">
        <v>2</v>
      </c>
      <c r="F7" s="302"/>
      <c r="G7" s="302"/>
      <c r="H7" s="302"/>
      <c r="I7" s="84" t="s">
        <v>52</v>
      </c>
      <c r="J7" s="85">
        <f>CARÁT!$F$16</f>
        <v>2024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106"/>
      <c r="B9" s="106"/>
      <c r="C9" s="55"/>
      <c r="D9" s="55"/>
      <c r="E9" s="55"/>
      <c r="F9" s="55"/>
      <c r="G9" s="55"/>
      <c r="H9" s="55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55"/>
    </row>
    <row r="11" spans="1:11">
      <c r="A11" s="41"/>
      <c r="B11" s="41">
        <v>32</v>
      </c>
      <c r="C11" s="46">
        <v>45570</v>
      </c>
      <c r="D11" s="334" t="s">
        <v>53</v>
      </c>
      <c r="E11" s="334"/>
      <c r="F11" s="325">
        <v>53670</v>
      </c>
      <c r="G11" s="325"/>
      <c r="H11" s="303" t="s">
        <v>10</v>
      </c>
      <c r="I11" s="303"/>
      <c r="J11" s="303"/>
      <c r="K11" s="55"/>
    </row>
    <row r="12" spans="1:11">
      <c r="A12" s="41"/>
      <c r="B12" s="41"/>
      <c r="C12" s="46"/>
      <c r="D12" s="346"/>
      <c r="E12" s="346"/>
      <c r="F12" s="305"/>
      <c r="G12" s="305"/>
      <c r="H12" s="303"/>
      <c r="I12" s="303"/>
      <c r="J12" s="303"/>
      <c r="K12" s="55"/>
    </row>
    <row r="13" spans="1:11">
      <c r="A13" s="41"/>
      <c r="B13" s="41"/>
      <c r="C13" s="46"/>
      <c r="D13" s="346"/>
      <c r="E13" s="346"/>
      <c r="F13" s="305"/>
      <c r="G13" s="305"/>
      <c r="H13" s="303"/>
      <c r="I13" s="303"/>
      <c r="J13" s="303"/>
      <c r="K13" s="55"/>
    </row>
    <row r="14" spans="1:11">
      <c r="A14" s="41"/>
      <c r="B14" s="41"/>
      <c r="C14" s="46"/>
      <c r="D14" s="346"/>
      <c r="E14" s="346"/>
      <c r="F14" s="305"/>
      <c r="G14" s="305"/>
      <c r="H14" s="47"/>
      <c r="I14" s="47"/>
      <c r="J14" s="47"/>
      <c r="K14" s="55"/>
    </row>
    <row r="15" spans="1:11">
      <c r="A15" s="41"/>
      <c r="B15" s="41"/>
      <c r="C15" s="46"/>
      <c r="D15" s="346"/>
      <c r="E15" s="346"/>
      <c r="F15" s="305"/>
      <c r="G15" s="305"/>
      <c r="H15" s="303"/>
      <c r="I15" s="303"/>
      <c r="J15" s="303"/>
      <c r="K15" s="55"/>
    </row>
    <row r="16" spans="1:11">
      <c r="A16" s="41"/>
      <c r="B16" s="41"/>
      <c r="C16" s="46"/>
      <c r="D16" s="346"/>
      <c r="E16" s="346"/>
      <c r="F16" s="305"/>
      <c r="G16" s="305"/>
      <c r="H16" s="303"/>
      <c r="I16" s="303"/>
      <c r="J16" s="303"/>
      <c r="K16" s="55"/>
    </row>
    <row r="17" spans="1:11">
      <c r="A17" s="41"/>
      <c r="B17" s="41"/>
      <c r="C17" s="46"/>
      <c r="D17" s="346"/>
      <c r="E17" s="346"/>
      <c r="F17" s="304"/>
      <c r="G17" s="304"/>
      <c r="H17" s="303"/>
      <c r="I17" s="303"/>
      <c r="J17" s="303"/>
      <c r="K17" s="55"/>
    </row>
    <row r="18" spans="1:11">
      <c r="A18" s="41"/>
      <c r="B18" s="41"/>
      <c r="C18" s="46"/>
      <c r="D18" s="346"/>
      <c r="E18" s="346"/>
      <c r="F18" s="304"/>
      <c r="G18" s="304"/>
      <c r="H18" s="303"/>
      <c r="I18" s="303"/>
      <c r="J18" s="303"/>
      <c r="K18" s="55"/>
    </row>
    <row r="19" spans="1:11">
      <c r="A19" s="41"/>
      <c r="B19" s="41"/>
      <c r="C19" s="46"/>
      <c r="D19" s="346"/>
      <c r="E19" s="346"/>
      <c r="F19" s="304"/>
      <c r="G19" s="304"/>
      <c r="H19" s="346"/>
      <c r="I19" s="346"/>
      <c r="J19" s="346"/>
      <c r="K19" s="55"/>
    </row>
    <row r="20" spans="1:11">
      <c r="A20" s="41"/>
      <c r="B20" s="41"/>
      <c r="C20" s="46"/>
      <c r="D20" s="346"/>
      <c r="E20" s="346"/>
      <c r="F20" s="304"/>
      <c r="G20" s="304"/>
      <c r="H20" s="346"/>
      <c r="I20" s="346"/>
      <c r="J20" s="346"/>
      <c r="K20" s="55"/>
    </row>
    <row r="21" spans="1:11">
      <c r="A21" s="41"/>
      <c r="B21" s="41"/>
      <c r="C21" s="46"/>
      <c r="D21" s="346"/>
      <c r="E21" s="346"/>
      <c r="F21" s="304"/>
      <c r="G21" s="304"/>
      <c r="H21" s="346"/>
      <c r="I21" s="346"/>
      <c r="J21" s="346"/>
      <c r="K21" s="55"/>
    </row>
    <row r="22" spans="1:11">
      <c r="A22" s="41"/>
      <c r="B22" s="41"/>
      <c r="C22" s="46"/>
      <c r="D22" s="346"/>
      <c r="E22" s="346"/>
      <c r="F22" s="304"/>
      <c r="G22" s="304"/>
      <c r="H22" s="346"/>
      <c r="I22" s="346"/>
      <c r="J22" s="346"/>
      <c r="K22" s="55"/>
    </row>
    <row r="23" spans="1:11">
      <c r="A23" s="41"/>
      <c r="B23" s="41"/>
      <c r="C23" s="46"/>
      <c r="D23" s="346"/>
      <c r="E23" s="346"/>
      <c r="F23" s="304"/>
      <c r="G23" s="304"/>
      <c r="H23" s="346"/>
      <c r="I23" s="346"/>
      <c r="J23" s="346"/>
      <c r="K23" s="55"/>
    </row>
    <row r="24" spans="1:11">
      <c r="A24" s="41"/>
      <c r="B24" s="41"/>
      <c r="C24" s="46"/>
      <c r="D24" s="346"/>
      <c r="E24" s="346"/>
      <c r="F24" s="304"/>
      <c r="G24" s="304"/>
      <c r="H24" s="346"/>
      <c r="I24" s="346"/>
      <c r="J24" s="346"/>
      <c r="K24" s="55"/>
    </row>
    <row r="25" spans="1:11">
      <c r="A25" s="41"/>
      <c r="B25" s="41"/>
      <c r="C25" s="46"/>
      <c r="D25" s="346"/>
      <c r="E25" s="346"/>
      <c r="F25" s="304"/>
      <c r="G25" s="304"/>
      <c r="H25" s="346"/>
      <c r="I25" s="346"/>
      <c r="J25" s="346"/>
      <c r="K25" s="55"/>
    </row>
    <row r="26" spans="1:11">
      <c r="A26" s="41"/>
      <c r="B26" s="41"/>
      <c r="C26" s="46"/>
      <c r="D26" s="346"/>
      <c r="E26" s="346"/>
      <c r="F26" s="304"/>
      <c r="G26" s="304"/>
      <c r="H26" s="346"/>
      <c r="I26" s="346"/>
      <c r="J26" s="346"/>
      <c r="K26" s="55"/>
    </row>
    <row r="27" spans="1:11">
      <c r="A27" s="41"/>
      <c r="B27" s="41"/>
      <c r="C27" s="46"/>
      <c r="D27" s="346"/>
      <c r="E27" s="346"/>
      <c r="F27" s="304"/>
      <c r="G27" s="304"/>
      <c r="H27" s="346"/>
      <c r="I27" s="346"/>
      <c r="J27" s="346"/>
      <c r="K27" s="55"/>
    </row>
    <row r="28" spans="1:11">
      <c r="A28" s="41"/>
      <c r="B28" s="41"/>
      <c r="C28" s="46"/>
      <c r="D28" s="346"/>
      <c r="E28" s="346"/>
      <c r="F28" s="304"/>
      <c r="G28" s="304"/>
      <c r="H28" s="346"/>
      <c r="I28" s="346"/>
      <c r="J28" s="346"/>
      <c r="K28" s="55"/>
    </row>
    <row r="29" spans="1:11">
      <c r="A29" s="41"/>
      <c r="B29" s="41"/>
      <c r="C29" s="46"/>
      <c r="D29" s="346"/>
      <c r="E29" s="346"/>
      <c r="F29" s="304"/>
      <c r="G29" s="304"/>
      <c r="H29" s="346"/>
      <c r="I29" s="346"/>
      <c r="J29" s="346"/>
      <c r="K29" s="55"/>
    </row>
    <row r="30" spans="1:11">
      <c r="A30" s="41"/>
      <c r="B30" s="41"/>
      <c r="C30" s="46"/>
      <c r="D30" s="346"/>
      <c r="E30" s="346"/>
      <c r="F30" s="304"/>
      <c r="G30" s="304"/>
      <c r="H30" s="346"/>
      <c r="I30" s="346"/>
      <c r="J30" s="346"/>
      <c r="K30" s="55"/>
    </row>
    <row r="31" spans="1:11">
      <c r="A31" s="41"/>
      <c r="B31" s="41"/>
      <c r="C31" s="46"/>
      <c r="D31" s="346"/>
      <c r="E31" s="346"/>
      <c r="F31" s="304"/>
      <c r="G31" s="304"/>
      <c r="H31" s="346"/>
      <c r="I31" s="346"/>
      <c r="J31" s="346"/>
      <c r="K31" s="55"/>
    </row>
    <row r="32" spans="1:11">
      <c r="A32" s="41"/>
      <c r="B32" s="41"/>
      <c r="C32" s="46"/>
      <c r="D32" s="346"/>
      <c r="E32" s="346"/>
      <c r="F32" s="304"/>
      <c r="G32" s="304"/>
      <c r="H32" s="346"/>
      <c r="I32" s="346"/>
      <c r="J32" s="346"/>
      <c r="K32" s="55"/>
    </row>
    <row r="33" spans="1:11">
      <c r="A33" s="41"/>
      <c r="B33" s="41"/>
      <c r="C33" s="46"/>
      <c r="D33" s="346"/>
      <c r="E33" s="346"/>
      <c r="F33" s="304"/>
      <c r="G33" s="304"/>
      <c r="H33" s="346"/>
      <c r="I33" s="346"/>
      <c r="J33" s="346"/>
      <c r="K33" s="55"/>
    </row>
    <row r="34" spans="1:11">
      <c r="A34" s="41"/>
      <c r="B34" s="41"/>
      <c r="C34" s="46"/>
      <c r="D34" s="346"/>
      <c r="E34" s="346"/>
      <c r="F34" s="304"/>
      <c r="G34" s="304"/>
      <c r="H34" s="346"/>
      <c r="I34" s="346"/>
      <c r="J34" s="346"/>
      <c r="K34" s="55"/>
    </row>
    <row r="35" spans="1:11">
      <c r="A35" s="41"/>
      <c r="B35" s="41"/>
      <c r="C35" s="46"/>
      <c r="D35" s="346"/>
      <c r="E35" s="346"/>
      <c r="F35" s="305"/>
      <c r="G35" s="305"/>
      <c r="H35" s="346"/>
      <c r="I35" s="346"/>
      <c r="J35" s="346"/>
      <c r="K35" s="55"/>
    </row>
    <row r="36" spans="1:11">
      <c r="A36" s="41"/>
      <c r="B36" s="41"/>
      <c r="C36" s="46"/>
      <c r="D36" s="370"/>
      <c r="E36" s="370"/>
      <c r="F36" s="304"/>
      <c r="G36" s="304"/>
      <c r="H36" s="346"/>
      <c r="I36" s="346"/>
      <c r="J36" s="346"/>
      <c r="K36" s="55"/>
    </row>
    <row r="37" spans="1:11">
      <c r="A37" s="41"/>
      <c r="B37" s="41"/>
      <c r="C37" s="51"/>
      <c r="D37" s="52"/>
      <c r="E37" s="52"/>
      <c r="F37" s="329">
        <f>SUM(F11:G36)</f>
        <v>53670</v>
      </c>
      <c r="G37" s="330"/>
      <c r="H37" s="53"/>
      <c r="I37" s="53"/>
      <c r="J37" s="53"/>
      <c r="K37" s="55"/>
    </row>
    <row r="38" spans="1:11">
      <c r="A38" s="41"/>
      <c r="B38" s="41"/>
      <c r="C38" s="51"/>
      <c r="D38" s="52"/>
      <c r="E38" s="52"/>
      <c r="F38" s="88"/>
      <c r="G38" s="88"/>
      <c r="H38" s="53"/>
      <c r="I38" s="53"/>
      <c r="J38" s="53"/>
      <c r="K38" s="55"/>
    </row>
    <row r="39" spans="1:11">
      <c r="A39" s="41"/>
      <c r="B39" s="41"/>
      <c r="C39" s="55"/>
      <c r="D39" s="319" t="s">
        <v>14</v>
      </c>
      <c r="E39" s="319"/>
      <c r="F39" s="55"/>
      <c r="G39" s="58">
        <f>F37/1000</f>
        <v>53.67</v>
      </c>
      <c r="H39" s="55"/>
      <c r="I39" s="55"/>
      <c r="J39" s="55"/>
      <c r="K39" s="55"/>
    </row>
    <row r="40" spans="1:11">
      <c r="A40" s="41"/>
      <c r="B40" s="41"/>
      <c r="C40" s="55"/>
      <c r="D40" s="57"/>
      <c r="E40" s="57"/>
      <c r="F40" s="55"/>
      <c r="G40" s="131"/>
      <c r="H40" s="55"/>
      <c r="I40" s="55"/>
      <c r="J40" s="55"/>
      <c r="K40" s="55"/>
    </row>
    <row r="41" spans="1:11">
      <c r="A41" s="41"/>
      <c r="B41" s="41"/>
      <c r="C41" s="55"/>
      <c r="D41" s="57"/>
      <c r="E41" s="57"/>
      <c r="F41" s="55"/>
      <c r="G41" s="131"/>
      <c r="H41" s="55"/>
      <c r="I41" s="55"/>
      <c r="J41" s="55"/>
      <c r="K41" s="55"/>
    </row>
    <row r="42" spans="1:11">
      <c r="A42" s="41"/>
      <c r="B42" s="41"/>
      <c r="C42" s="55"/>
      <c r="D42" s="55"/>
      <c r="E42" s="56"/>
      <c r="F42" s="55"/>
      <c r="G42" s="55"/>
      <c r="H42" s="55"/>
      <c r="I42" s="55"/>
      <c r="J42" s="55"/>
      <c r="K42" s="55"/>
    </row>
    <row r="43" spans="1:11">
      <c r="A43" s="41"/>
      <c r="B43" s="41"/>
      <c r="C43" s="317" t="s">
        <v>15</v>
      </c>
      <c r="D43" s="317"/>
      <c r="E43" s="317" t="s">
        <v>16</v>
      </c>
      <c r="F43" s="317"/>
      <c r="G43" s="59" t="s">
        <v>17</v>
      </c>
      <c r="H43" s="59" t="s">
        <v>18</v>
      </c>
      <c r="I43" s="55"/>
      <c r="J43" s="55"/>
      <c r="K43" s="55"/>
    </row>
    <row r="44" spans="1:11">
      <c r="A44" s="41"/>
      <c r="B44" s="41"/>
      <c r="C44" s="303" t="s">
        <v>54</v>
      </c>
      <c r="D44" s="303"/>
      <c r="E44" s="371">
        <f>F11</f>
        <v>53670</v>
      </c>
      <c r="F44" s="371"/>
      <c r="G44" s="61">
        <f>+E44/E49</f>
        <v>1</v>
      </c>
      <c r="H44" s="62">
        <v>1</v>
      </c>
      <c r="I44" s="55"/>
      <c r="J44" s="55"/>
      <c r="K44" s="55"/>
    </row>
    <row r="45" spans="1:11">
      <c r="A45" s="41"/>
      <c r="B45" s="41"/>
      <c r="C45" s="303"/>
      <c r="D45" s="303"/>
      <c r="E45" s="371"/>
      <c r="F45" s="371"/>
      <c r="G45" s="61">
        <f>+E45/E49</f>
        <v>0</v>
      </c>
      <c r="H45" s="62"/>
      <c r="I45" s="55"/>
      <c r="J45" s="55"/>
      <c r="K45" s="55"/>
    </row>
    <row r="46" spans="1:11">
      <c r="A46" s="41"/>
      <c r="B46" s="41"/>
      <c r="C46" s="303"/>
      <c r="D46" s="303"/>
      <c r="E46" s="371"/>
      <c r="F46" s="371"/>
      <c r="G46" s="61">
        <f>+E46/E49</f>
        <v>0</v>
      </c>
      <c r="H46" s="62"/>
      <c r="I46" s="55"/>
      <c r="J46" s="55"/>
      <c r="K46" s="55"/>
    </row>
    <row r="47" spans="1:11">
      <c r="A47" s="41"/>
      <c r="B47" s="41"/>
      <c r="C47" s="303"/>
      <c r="D47" s="303"/>
      <c r="E47" s="371"/>
      <c r="F47" s="371"/>
      <c r="G47" s="61">
        <f>+E47/E49</f>
        <v>0</v>
      </c>
      <c r="H47" s="62"/>
      <c r="I47" s="55"/>
      <c r="J47" s="55"/>
      <c r="K47" s="55"/>
    </row>
    <row r="48" spans="1:11">
      <c r="A48" s="41"/>
      <c r="B48" s="41"/>
      <c r="C48" s="303"/>
      <c r="D48" s="303"/>
      <c r="E48" s="304"/>
      <c r="F48" s="304"/>
      <c r="G48" s="61">
        <f>+E48/E49</f>
        <v>0</v>
      </c>
      <c r="H48" s="62"/>
      <c r="I48" s="55"/>
      <c r="J48" s="55"/>
      <c r="K48" s="55"/>
    </row>
    <row r="49" spans="1:11">
      <c r="A49" s="41"/>
      <c r="B49" s="41"/>
      <c r="C49" s="64"/>
      <c r="D49" s="57" t="s">
        <v>21</v>
      </c>
      <c r="E49" s="365">
        <f>SUM(E44:F48)</f>
        <v>53670</v>
      </c>
      <c r="F49" s="365"/>
      <c r="G49" s="65">
        <f>SUM(G44:G48)</f>
        <v>1</v>
      </c>
      <c r="H49" s="66">
        <f>SUM(H44:H48)</f>
        <v>1</v>
      </c>
      <c r="I49" s="55"/>
      <c r="J49" s="55"/>
      <c r="K49" s="55"/>
    </row>
    <row r="50" spans="1:11">
      <c r="A50" s="41"/>
      <c r="B50" s="41"/>
      <c r="C50" s="64"/>
      <c r="D50" s="57"/>
      <c r="E50" s="132"/>
      <c r="F50" s="132"/>
      <c r="G50" s="89"/>
      <c r="H50" s="133"/>
      <c r="I50" s="55"/>
      <c r="J50" s="55"/>
      <c r="K50" s="55"/>
    </row>
    <row r="51" spans="1:11">
      <c r="A51" s="41"/>
      <c r="B51" s="41"/>
      <c r="C51" s="64"/>
      <c r="D51" s="57"/>
      <c r="E51" s="132"/>
      <c r="F51" s="132"/>
      <c r="G51" s="89"/>
      <c r="H51" s="133"/>
      <c r="I51" s="55"/>
      <c r="J51" s="55"/>
      <c r="K51" s="55"/>
    </row>
    <row r="52" spans="1:11">
      <c r="A52" s="41"/>
      <c r="B52" s="41"/>
      <c r="C52" s="68"/>
      <c r="D52" s="55"/>
      <c r="E52" s="54"/>
      <c r="F52" s="69"/>
      <c r="G52" s="70"/>
      <c r="H52" s="55"/>
      <c r="I52" s="55"/>
      <c r="J52" s="55"/>
      <c r="K52" s="55"/>
    </row>
    <row r="53" spans="1:11">
      <c r="A53" s="41"/>
      <c r="B53" s="41"/>
      <c r="C53" s="313" t="s">
        <v>8</v>
      </c>
      <c r="D53" s="314"/>
      <c r="E53" s="315"/>
      <c r="F53" s="316" t="s">
        <v>7</v>
      </c>
      <c r="G53" s="317"/>
      <c r="H53" s="59" t="s">
        <v>17</v>
      </c>
      <c r="I53" s="55"/>
      <c r="J53" s="55"/>
      <c r="K53" s="55"/>
    </row>
    <row r="54" spans="1:11">
      <c r="A54" s="41"/>
      <c r="B54" s="41"/>
      <c r="C54" s="346" t="s">
        <v>22</v>
      </c>
      <c r="D54" s="346"/>
      <c r="E54" s="346"/>
      <c r="F54" s="312"/>
      <c r="G54" s="312"/>
      <c r="H54" s="61">
        <f>+F54/F57</f>
        <v>0</v>
      </c>
      <c r="I54" s="55"/>
      <c r="J54" s="55"/>
      <c r="K54" s="55"/>
    </row>
    <row r="55" spans="1:11">
      <c r="A55" s="41"/>
      <c r="B55" s="41"/>
      <c r="C55" s="346" t="s">
        <v>23</v>
      </c>
      <c r="D55" s="346"/>
      <c r="E55" s="346"/>
      <c r="F55" s="304">
        <f>F37</f>
        <v>53670</v>
      </c>
      <c r="G55" s="304"/>
      <c r="H55" s="61">
        <f>+F55/F57</f>
        <v>1</v>
      </c>
      <c r="I55" s="55"/>
      <c r="J55" s="55"/>
      <c r="K55" s="55"/>
    </row>
    <row r="56" spans="1:11">
      <c r="A56" s="41"/>
      <c r="B56" s="41"/>
      <c r="C56" s="41"/>
      <c r="D56" s="41"/>
      <c r="E56" s="41"/>
      <c r="F56" s="49"/>
      <c r="G56" s="49"/>
      <c r="H56" s="61"/>
      <c r="I56" s="55"/>
      <c r="J56" s="55"/>
      <c r="K56" s="55"/>
    </row>
    <row r="57" spans="1:11">
      <c r="A57" s="41"/>
      <c r="B57" s="41"/>
      <c r="C57" s="55"/>
      <c r="D57" s="55" t="s">
        <v>21</v>
      </c>
      <c r="E57" s="55"/>
      <c r="F57" s="308">
        <f>SUM(F54:G55)</f>
        <v>53670</v>
      </c>
      <c r="G57" s="308"/>
      <c r="H57" s="65">
        <f>SUM(H54:H55)</f>
        <v>1</v>
      </c>
      <c r="I57" s="55"/>
      <c r="J57" s="55"/>
      <c r="K57" s="55"/>
    </row>
    <row r="58" spans="1:11">
      <c r="A58" s="41"/>
      <c r="B58" s="41"/>
      <c r="C58" s="55"/>
      <c r="D58" s="55"/>
      <c r="E58" s="55"/>
      <c r="F58" s="88"/>
      <c r="G58" s="88"/>
      <c r="H58" s="89"/>
      <c r="I58" s="55"/>
      <c r="J58" s="55"/>
      <c r="K58" s="55"/>
    </row>
    <row r="59" spans="1:11">
      <c r="A59" s="41"/>
      <c r="B59" s="41"/>
      <c r="C59" s="55"/>
      <c r="D59" s="55"/>
      <c r="E59" s="55"/>
      <c r="F59" s="88"/>
      <c r="G59" s="88"/>
      <c r="H59" s="89"/>
      <c r="I59" s="55"/>
      <c r="J59" s="55"/>
      <c r="K59" s="55"/>
    </row>
    <row r="60" spans="1:11">
      <c r="A60" s="41"/>
      <c r="B60" s="41"/>
      <c r="C60" s="55"/>
      <c r="D60" s="55"/>
      <c r="E60" s="55"/>
      <c r="F60" s="88"/>
      <c r="G60" s="88"/>
      <c r="H60" s="89"/>
      <c r="I60" s="55"/>
      <c r="J60" s="55"/>
      <c r="K60" s="55"/>
    </row>
    <row r="61" spans="1:11">
      <c r="A61" s="41"/>
      <c r="B61" s="41"/>
      <c r="C61" s="55"/>
      <c r="D61" s="55"/>
      <c r="E61" s="55"/>
      <c r="F61" s="88"/>
      <c r="G61" s="88"/>
      <c r="H61" s="89"/>
      <c r="I61" s="55"/>
      <c r="J61" s="55"/>
      <c r="K61" s="55"/>
    </row>
    <row r="62" spans="1:11">
      <c r="A62" s="41"/>
      <c r="B62" s="41"/>
      <c r="C62" s="55"/>
      <c r="D62" s="55"/>
      <c r="E62" s="55"/>
      <c r="F62" s="88"/>
      <c r="G62" s="88"/>
      <c r="H62" s="89"/>
      <c r="I62" s="55"/>
      <c r="J62" s="55"/>
      <c r="K62" s="55"/>
    </row>
    <row r="63" spans="1:11">
      <c r="A63" s="41"/>
      <c r="B63" s="41"/>
      <c r="C63" s="55"/>
      <c r="D63" s="55"/>
      <c r="E63" s="55"/>
      <c r="F63" s="88"/>
      <c r="G63" s="88"/>
      <c r="H63" s="89"/>
      <c r="I63" s="55"/>
      <c r="J63" s="55"/>
      <c r="K63" s="55"/>
    </row>
    <row r="64" spans="1:11">
      <c r="A64" s="41"/>
      <c r="B64" s="41"/>
      <c r="C64" s="55"/>
      <c r="D64" s="55"/>
      <c r="E64" s="309" t="s">
        <v>24</v>
      </c>
      <c r="F64" s="309"/>
      <c r="G64" s="309"/>
      <c r="H64" s="309"/>
      <c r="I64" s="55"/>
      <c r="J64" s="55"/>
      <c r="K64" s="55"/>
    </row>
    <row r="65" spans="1:11">
      <c r="A65" s="41"/>
      <c r="B65" s="41"/>
      <c r="C65" s="55"/>
      <c r="D65" s="108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109" t="s">
        <v>25</v>
      </c>
      <c r="E66" s="336" t="s">
        <v>26</v>
      </c>
      <c r="F66" s="337"/>
      <c r="G66" s="336" t="s">
        <v>27</v>
      </c>
      <c r="H66" s="337"/>
      <c r="I66" s="55"/>
      <c r="J66" s="55"/>
      <c r="K66" s="55"/>
    </row>
    <row r="67" spans="1:11">
      <c r="A67" s="55"/>
      <c r="B67" s="55"/>
      <c r="C67" s="55"/>
      <c r="D67" s="110" t="s">
        <v>28</v>
      </c>
      <c r="E67" s="118" t="s">
        <v>29</v>
      </c>
      <c r="F67" s="118" t="s">
        <v>30</v>
      </c>
      <c r="G67" s="119" t="s">
        <v>29</v>
      </c>
      <c r="H67" s="119" t="s">
        <v>30</v>
      </c>
      <c r="I67" s="55"/>
      <c r="J67" s="55"/>
      <c r="K67" s="55"/>
    </row>
    <row r="68" spans="1:11">
      <c r="A68" s="55"/>
      <c r="B68" s="55"/>
      <c r="C68" s="55"/>
      <c r="D68" s="90" t="s">
        <v>31</v>
      </c>
      <c r="E68" s="91">
        <f>Comparativos!$BA$13</f>
        <v>123.39</v>
      </c>
      <c r="F68" s="92">
        <f>Comparativos!$BB$13</f>
        <v>4</v>
      </c>
      <c r="G68" s="127">
        <f>ENE!$G$46</f>
        <v>417.87</v>
      </c>
      <c r="H68" s="92">
        <f>ENE!$H$55</f>
        <v>8</v>
      </c>
      <c r="I68" s="55"/>
      <c r="J68" s="55"/>
      <c r="K68" s="55"/>
    </row>
    <row r="69" spans="1:11">
      <c r="A69" s="55"/>
      <c r="B69" s="55"/>
      <c r="C69" s="55"/>
      <c r="D69" s="90" t="s">
        <v>33</v>
      </c>
      <c r="E69" s="121">
        <f>Comparativos!$BA$14</f>
        <v>176.79</v>
      </c>
      <c r="F69" s="113">
        <f>Comparativos!$BB$14</f>
        <v>6</v>
      </c>
      <c r="G69" s="100">
        <f>FEB!$G$48</f>
        <v>127.8</v>
      </c>
      <c r="H69" s="101">
        <f>FEB!$H$57</f>
        <v>2</v>
      </c>
      <c r="I69" s="55"/>
      <c r="J69" s="55"/>
      <c r="K69" s="55"/>
    </row>
    <row r="70" spans="1:11">
      <c r="A70" s="55"/>
      <c r="B70" s="55"/>
      <c r="C70" s="55"/>
      <c r="D70" s="90" t="s">
        <v>35</v>
      </c>
      <c r="E70" s="121">
        <f>Comparativos!$BA$15</f>
        <v>370.56</v>
      </c>
      <c r="F70" s="113">
        <f>Comparativos!$BB$15</f>
        <v>11</v>
      </c>
      <c r="G70" s="100">
        <f>MAR!$G$43</f>
        <v>78.06</v>
      </c>
      <c r="H70" s="101">
        <f>MAR!$H$51</f>
        <v>2</v>
      </c>
      <c r="I70" s="55"/>
      <c r="J70" s="55"/>
      <c r="K70" s="55"/>
    </row>
    <row r="71" spans="1:11">
      <c r="A71" s="55"/>
      <c r="B71" s="55"/>
      <c r="C71" s="55"/>
      <c r="D71" s="90" t="s">
        <v>37</v>
      </c>
      <c r="E71" s="121">
        <f>Comparativos!$BA$16</f>
        <v>201.99</v>
      </c>
      <c r="F71" s="113">
        <f>Comparativos!$BB$16</f>
        <v>8</v>
      </c>
      <c r="G71" s="100">
        <f>ABR!$G$41</f>
        <v>0</v>
      </c>
      <c r="H71" s="101">
        <f>ABR!$H$50</f>
        <v>0</v>
      </c>
      <c r="I71" s="55"/>
      <c r="J71" s="55"/>
      <c r="K71" s="55"/>
    </row>
    <row r="72" spans="1:11">
      <c r="A72" s="55"/>
      <c r="B72" s="55"/>
      <c r="C72" s="55"/>
      <c r="D72" s="90" t="s">
        <v>39</v>
      </c>
      <c r="E72" s="121">
        <f>Comparativos!$BA$17</f>
        <v>60.9</v>
      </c>
      <c r="F72" s="113">
        <f>Comparativos!$BB$17</f>
        <v>2</v>
      </c>
      <c r="G72" s="54">
        <f>MAY!$G$44</f>
        <v>0</v>
      </c>
      <c r="H72" s="113">
        <f>MAY!$H$52</f>
        <v>0</v>
      </c>
      <c r="I72" s="55"/>
      <c r="J72" s="55"/>
      <c r="K72" s="55"/>
    </row>
    <row r="73" spans="1:11">
      <c r="A73" s="55"/>
      <c r="B73" s="55"/>
      <c r="C73" s="55"/>
      <c r="D73" s="90" t="s">
        <v>41</v>
      </c>
      <c r="E73" s="121">
        <f>Comparativos!$BA$18</f>
        <v>0</v>
      </c>
      <c r="F73" s="113">
        <f>Comparativos!$BB$18</f>
        <v>0</v>
      </c>
      <c r="G73" s="54">
        <f>JUN!$G$33</f>
        <v>32.46</v>
      </c>
      <c r="H73" s="113">
        <f>JUN!$H$42</f>
        <v>1</v>
      </c>
      <c r="I73" s="55"/>
      <c r="J73" s="55"/>
      <c r="K73" s="55"/>
    </row>
    <row r="74" spans="1:11">
      <c r="A74" s="55"/>
      <c r="B74" s="55"/>
      <c r="C74" s="55"/>
      <c r="D74" s="90" t="s">
        <v>47</v>
      </c>
      <c r="E74" s="121">
        <f>Comparativos!$BA$20</f>
        <v>0</v>
      </c>
      <c r="F74" s="113">
        <f>Comparativos!$BB$20</f>
        <v>0</v>
      </c>
      <c r="G74" s="54">
        <f>JUL!$G$33</f>
        <v>79.47</v>
      </c>
      <c r="H74" s="113">
        <f>JUL!$H$42</f>
        <v>1</v>
      </c>
      <c r="I74" s="55"/>
      <c r="J74" s="55"/>
      <c r="K74" s="55"/>
    </row>
    <row r="75" spans="1:11">
      <c r="A75" s="55"/>
      <c r="B75" s="55"/>
      <c r="C75" s="55"/>
      <c r="D75" s="90" t="s">
        <v>49</v>
      </c>
      <c r="E75" s="121">
        <f>Comparativos!$BA$21</f>
        <v>132.38999999999999</v>
      </c>
      <c r="F75" s="113">
        <f>Comparativos!$BB$21</f>
        <v>4</v>
      </c>
      <c r="G75" s="54">
        <f>AGO!$G$36</f>
        <v>41.4</v>
      </c>
      <c r="H75" s="113">
        <f>AGO!$H$47</f>
        <v>2</v>
      </c>
      <c r="I75" s="55"/>
      <c r="J75" s="55"/>
      <c r="K75" s="55"/>
    </row>
    <row r="76" spans="1:11">
      <c r="A76" s="55"/>
      <c r="B76" s="55"/>
      <c r="C76" s="55"/>
      <c r="D76" s="90" t="s">
        <v>51</v>
      </c>
      <c r="E76" s="121">
        <f>Comparativos!$BA$22</f>
        <v>142.59</v>
      </c>
      <c r="F76" s="113">
        <f>Comparativos!$BB$22</f>
        <v>3</v>
      </c>
      <c r="G76" s="54">
        <f>SEP!$G$43</f>
        <v>146.72999999999999</v>
      </c>
      <c r="H76" s="113">
        <f>SEP!$H$53</f>
        <v>4</v>
      </c>
      <c r="I76" s="55"/>
      <c r="J76" s="55"/>
      <c r="K76" s="55"/>
    </row>
    <row r="77" spans="1:11">
      <c r="A77" s="55"/>
      <c r="B77" s="55"/>
      <c r="C77" s="55"/>
      <c r="D77" s="94" t="s">
        <v>55</v>
      </c>
      <c r="E77" s="114">
        <f>Comparativos!$BA$23</f>
        <v>218.52</v>
      </c>
      <c r="F77" s="117">
        <f>Comparativos!$BB$23</f>
        <v>4</v>
      </c>
      <c r="G77" s="116">
        <f>G39</f>
        <v>53.67</v>
      </c>
      <c r="H77" s="117">
        <f>H49</f>
        <v>1</v>
      </c>
      <c r="I77" s="55"/>
      <c r="J77" s="55"/>
      <c r="K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11">
      <c r="A79" s="55"/>
      <c r="B79" s="55"/>
      <c r="C79" s="55"/>
      <c r="D79" s="55"/>
      <c r="E79" s="79">
        <f>SUM(E68:E78)</f>
        <v>1427.1299999999999</v>
      </c>
      <c r="F79" s="80">
        <f>SUM(F68:F78)</f>
        <v>42</v>
      </c>
      <c r="G79" s="79">
        <f>SUM(G68:G78)</f>
        <v>977.46</v>
      </c>
      <c r="H79" s="80">
        <f>SUM(H68:H78)</f>
        <v>21</v>
      </c>
      <c r="I79" s="55"/>
      <c r="J79" s="55"/>
      <c r="K79" s="55"/>
    </row>
    <row r="80" spans="1:11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0">
      <c r="A81" s="55"/>
      <c r="B81" s="55"/>
      <c r="C81" s="55"/>
      <c r="D81" s="55"/>
      <c r="E81" s="55"/>
      <c r="F81" s="55"/>
      <c r="G81" s="55"/>
      <c r="H81" s="55"/>
      <c r="I81" s="55"/>
      <c r="J81" s="55"/>
    </row>
    <row r="82" spans="1:10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0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0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0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0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0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0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0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0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0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0">
      <c r="A93" s="55"/>
      <c r="B93" s="55"/>
      <c r="C93" s="55"/>
      <c r="D93" s="55"/>
      <c r="E93" s="55"/>
      <c r="F93" s="55"/>
      <c r="G93" s="55"/>
      <c r="H93" s="55"/>
      <c r="I93" s="55"/>
      <c r="J93" s="55"/>
    </row>
    <row r="94" spans="1:10">
      <c r="A94" s="55"/>
      <c r="B94" s="55"/>
      <c r="C94" s="55"/>
      <c r="D94" s="55"/>
      <c r="E94" s="55"/>
      <c r="F94" s="55"/>
      <c r="G94" s="55"/>
      <c r="H94" s="55"/>
      <c r="I94" s="55"/>
      <c r="J94" s="55"/>
    </row>
    <row r="95" spans="1:10">
      <c r="A95" s="55"/>
      <c r="B95" s="55"/>
      <c r="C95" s="55"/>
      <c r="D95" s="55"/>
      <c r="E95" s="55"/>
      <c r="F95" s="55"/>
      <c r="G95" s="55"/>
      <c r="H95" s="55"/>
      <c r="I95" s="55"/>
      <c r="J95" s="55"/>
    </row>
    <row r="96" spans="1:10">
      <c r="A96" s="55"/>
      <c r="B96" s="55"/>
      <c r="C96" s="55"/>
      <c r="D96" s="55"/>
      <c r="E96" s="55"/>
      <c r="F96" s="55"/>
      <c r="G96" s="55"/>
      <c r="H96" s="55"/>
      <c r="I96" s="55"/>
      <c r="J96" s="55"/>
    </row>
    <row r="97" spans="1:10">
      <c r="A97" s="55"/>
      <c r="B97" s="55"/>
      <c r="C97" s="55"/>
      <c r="D97" s="55"/>
      <c r="E97" s="55"/>
      <c r="F97" s="55"/>
      <c r="G97" s="55"/>
      <c r="H97" s="55"/>
      <c r="I97" s="55"/>
      <c r="J97" s="55"/>
    </row>
    <row r="98" spans="1:10">
      <c r="A98" s="55"/>
      <c r="B98" s="55"/>
      <c r="C98" s="55"/>
      <c r="D98" s="55"/>
      <c r="E98" s="55"/>
      <c r="F98" s="55"/>
      <c r="G98" s="55"/>
      <c r="H98" s="55"/>
      <c r="I98" s="55"/>
      <c r="J98" s="55"/>
    </row>
    <row r="99" spans="1:10">
      <c r="A99" s="55"/>
      <c r="B99" s="55"/>
      <c r="C99" s="55"/>
      <c r="D99" s="55"/>
      <c r="E99" s="55"/>
      <c r="F99" s="55"/>
      <c r="G99" s="55"/>
      <c r="H99" s="55"/>
      <c r="I99" s="55"/>
      <c r="J99" s="55"/>
    </row>
    <row r="100" spans="1:10">
      <c r="A100" s="55"/>
      <c r="B100" s="55"/>
      <c r="C100" s="55"/>
      <c r="D100" s="55"/>
      <c r="E100" s="55"/>
      <c r="F100" s="55"/>
      <c r="G100" s="55"/>
      <c r="H100" s="55"/>
      <c r="I100" s="55"/>
      <c r="J100" s="55"/>
    </row>
    <row r="101" spans="1:10">
      <c r="A101" s="55"/>
      <c r="B101" s="55"/>
      <c r="C101" s="55"/>
      <c r="D101" s="55"/>
      <c r="E101" s="55"/>
      <c r="F101" s="55"/>
      <c r="G101" s="55"/>
      <c r="H101" s="55"/>
      <c r="I101" s="55"/>
      <c r="J101" s="55"/>
    </row>
    <row r="102" spans="1:10">
      <c r="A102" s="55"/>
      <c r="B102" s="55"/>
      <c r="C102" s="55"/>
      <c r="D102" s="55"/>
      <c r="E102" s="55"/>
      <c r="F102" s="55"/>
      <c r="G102" s="55"/>
      <c r="H102" s="55"/>
      <c r="I102" s="55"/>
      <c r="J102" s="55"/>
    </row>
    <row r="103" spans="1:10">
      <c r="A103" s="55"/>
      <c r="B103" s="55"/>
      <c r="C103" s="55"/>
      <c r="D103" s="55"/>
      <c r="E103" s="55"/>
      <c r="F103" s="55"/>
      <c r="G103" s="55"/>
      <c r="H103" s="55"/>
      <c r="I103" s="55"/>
      <c r="J103" s="55"/>
    </row>
    <row r="104" spans="1:10">
      <c r="A104" s="55"/>
      <c r="B104" s="55"/>
      <c r="C104" s="55"/>
      <c r="D104" s="55"/>
      <c r="E104" s="55"/>
      <c r="F104" s="55"/>
      <c r="G104" s="55"/>
      <c r="H104" s="55"/>
      <c r="I104" s="55"/>
      <c r="J104" s="55"/>
    </row>
    <row r="105" spans="1:10">
      <c r="A105" s="55"/>
      <c r="B105" s="55"/>
      <c r="C105" s="55"/>
      <c r="D105" s="55"/>
      <c r="E105" s="55"/>
      <c r="F105" s="55"/>
      <c r="G105" s="55"/>
      <c r="H105" s="55"/>
      <c r="I105" s="55"/>
      <c r="J105" s="55"/>
    </row>
    <row r="106" spans="1:10">
      <c r="A106" s="55"/>
      <c r="B106" s="55"/>
      <c r="C106" s="55"/>
      <c r="D106" s="55"/>
      <c r="E106" s="55"/>
      <c r="F106" s="55"/>
      <c r="G106" s="55"/>
      <c r="H106" s="55"/>
      <c r="I106" s="55"/>
      <c r="J106" s="55"/>
    </row>
    <row r="107" spans="1:10">
      <c r="A107" s="55"/>
      <c r="B107" s="55"/>
      <c r="C107" s="55"/>
      <c r="D107" s="55"/>
      <c r="E107" s="55"/>
      <c r="F107" s="55"/>
      <c r="G107" s="55"/>
      <c r="H107" s="55"/>
      <c r="I107" s="55"/>
      <c r="J107" s="55"/>
    </row>
    <row r="108" spans="1:10">
      <c r="A108" s="55"/>
      <c r="B108" s="55"/>
      <c r="C108" s="55"/>
      <c r="D108" s="55"/>
      <c r="E108" s="55"/>
      <c r="F108" s="55"/>
      <c r="G108" s="55"/>
      <c r="H108" s="55"/>
      <c r="I108" s="55"/>
      <c r="J108" s="55"/>
    </row>
    <row r="109" spans="1:10">
      <c r="A109" s="55"/>
      <c r="B109" s="55"/>
      <c r="C109" s="55"/>
      <c r="D109" s="55"/>
      <c r="E109" s="55"/>
      <c r="F109" s="55"/>
      <c r="G109" s="55"/>
      <c r="H109" s="55"/>
      <c r="I109" s="55"/>
      <c r="J109" s="55"/>
    </row>
    <row r="110" spans="1:10">
      <c r="A110" s="55"/>
      <c r="B110" s="55"/>
      <c r="C110" s="55"/>
      <c r="D110" s="55"/>
      <c r="E110" s="55"/>
      <c r="F110" s="55"/>
      <c r="G110" s="55"/>
      <c r="H110" s="55"/>
      <c r="I110" s="55"/>
      <c r="J110" s="55"/>
    </row>
    <row r="111" spans="1:10">
      <c r="A111" s="55"/>
      <c r="B111" s="55"/>
      <c r="C111" s="55"/>
      <c r="D111" s="55"/>
      <c r="E111" s="55"/>
      <c r="F111" s="55"/>
      <c r="G111" s="55"/>
      <c r="H111" s="55"/>
      <c r="I111" s="55"/>
      <c r="J111" s="55"/>
    </row>
    <row r="112" spans="1:10">
      <c r="A112" s="55"/>
      <c r="B112" s="55"/>
      <c r="C112" s="55"/>
      <c r="D112" s="55"/>
      <c r="E112" s="55"/>
      <c r="F112" s="55"/>
      <c r="G112" s="55"/>
      <c r="H112" s="55"/>
      <c r="I112" s="55"/>
      <c r="J112" s="55"/>
    </row>
    <row r="113" spans="1:10">
      <c r="A113" s="55"/>
      <c r="B113" s="55"/>
      <c r="C113" s="55"/>
      <c r="D113" s="55"/>
      <c r="E113" s="55"/>
      <c r="F113" s="55"/>
      <c r="G113" s="55"/>
      <c r="H113" s="55"/>
      <c r="I113" s="55"/>
      <c r="J113" s="55"/>
    </row>
    <row r="114" spans="1:10">
      <c r="A114" s="55"/>
      <c r="B114" s="55"/>
      <c r="C114" s="55"/>
      <c r="D114" s="55"/>
      <c r="E114" s="55"/>
      <c r="F114" s="55"/>
      <c r="G114" s="55"/>
      <c r="H114" s="55"/>
      <c r="I114" s="55"/>
      <c r="J114" s="55"/>
    </row>
    <row r="115" spans="1:10">
      <c r="A115" s="55"/>
      <c r="B115" s="55"/>
      <c r="C115" s="55"/>
      <c r="D115" s="55"/>
      <c r="E115" s="55"/>
      <c r="F115" s="55"/>
      <c r="G115" s="55"/>
      <c r="H115" s="55"/>
      <c r="I115" s="55"/>
      <c r="J115" s="55"/>
    </row>
    <row r="116" spans="1:10">
      <c r="A116" s="55"/>
      <c r="B116" s="55"/>
      <c r="C116" s="55"/>
      <c r="D116" s="55"/>
      <c r="E116" s="55"/>
      <c r="F116" s="55"/>
      <c r="G116" s="55"/>
      <c r="H116" s="55"/>
      <c r="I116" s="55"/>
      <c r="J116" s="55"/>
    </row>
    <row r="117" spans="1:10">
      <c r="A117" s="55"/>
      <c r="B117" s="55"/>
      <c r="C117" s="55"/>
      <c r="D117" s="55"/>
      <c r="E117" s="55"/>
      <c r="F117" s="55"/>
      <c r="G117" s="55"/>
      <c r="H117" s="55"/>
      <c r="I117" s="55"/>
      <c r="J117" s="55"/>
    </row>
    <row r="118" spans="1:10">
      <c r="A118" s="55"/>
      <c r="B118" s="55"/>
      <c r="C118" s="55"/>
      <c r="D118" s="55"/>
      <c r="E118" s="55"/>
      <c r="F118" s="55"/>
      <c r="G118" s="55"/>
      <c r="H118" s="55"/>
      <c r="I118" s="55"/>
      <c r="J118" s="55"/>
    </row>
    <row r="119" spans="1:10">
      <c r="A119" s="55"/>
      <c r="B119" s="55"/>
      <c r="C119" s="55"/>
      <c r="D119" s="55"/>
      <c r="E119" s="55"/>
      <c r="F119" s="55"/>
      <c r="G119" s="55"/>
      <c r="H119" s="55"/>
      <c r="I119" s="55"/>
      <c r="J119" s="55"/>
    </row>
    <row r="120" spans="1:10">
      <c r="A120" s="55"/>
      <c r="B120" s="55"/>
      <c r="C120" s="55"/>
      <c r="D120" s="55"/>
      <c r="E120" s="55"/>
      <c r="F120" s="55"/>
      <c r="G120" s="55"/>
      <c r="H120" s="55"/>
      <c r="I120" s="55"/>
      <c r="J120" s="55"/>
    </row>
    <row r="121" spans="1:10">
      <c r="A121" s="55"/>
      <c r="B121" s="55"/>
      <c r="C121" s="55"/>
      <c r="D121" s="55"/>
      <c r="E121" s="55"/>
      <c r="F121" s="55"/>
      <c r="G121" s="55"/>
      <c r="H121" s="55"/>
      <c r="I121" s="55"/>
      <c r="J121" s="55"/>
    </row>
    <row r="122" spans="1:10">
      <c r="A122" s="55"/>
      <c r="B122" s="55"/>
      <c r="C122" s="55"/>
      <c r="D122" s="55"/>
      <c r="E122" s="55"/>
      <c r="F122" s="55"/>
      <c r="G122" s="55"/>
      <c r="H122" s="55"/>
      <c r="I122" s="55"/>
      <c r="J122" s="55"/>
    </row>
    <row r="123" spans="1:10">
      <c r="A123" s="55"/>
      <c r="B123" s="55"/>
      <c r="C123" s="55"/>
      <c r="D123" s="55"/>
      <c r="E123" s="55"/>
      <c r="F123" s="55"/>
      <c r="G123" s="55"/>
      <c r="H123" s="55"/>
      <c r="I123" s="55"/>
      <c r="J123" s="55"/>
    </row>
    <row r="124" spans="1:10">
      <c r="A124" s="55"/>
      <c r="B124" s="55"/>
      <c r="C124" s="55"/>
      <c r="D124" s="55"/>
      <c r="E124" s="55"/>
      <c r="F124" s="55"/>
      <c r="G124" s="55"/>
      <c r="H124" s="55"/>
      <c r="I124" s="55"/>
      <c r="J124" s="55"/>
    </row>
    <row r="125" spans="1:10">
      <c r="A125" s="55"/>
      <c r="B125" s="55"/>
      <c r="C125" s="55"/>
      <c r="D125" s="55"/>
      <c r="E125" s="55"/>
      <c r="F125" s="55"/>
      <c r="G125" s="55"/>
      <c r="H125" s="55"/>
      <c r="I125" s="55"/>
      <c r="J125" s="55"/>
    </row>
    <row r="126" spans="1:10">
      <c r="A126" s="55"/>
      <c r="B126" s="55"/>
      <c r="C126" s="55"/>
      <c r="D126" s="55"/>
      <c r="E126" s="55"/>
      <c r="F126" s="55"/>
      <c r="G126" s="55"/>
      <c r="H126" s="55"/>
      <c r="I126" s="55"/>
      <c r="J126" s="55"/>
    </row>
    <row r="127" spans="1:10">
      <c r="A127" s="55"/>
      <c r="B127" s="55"/>
      <c r="C127" s="55"/>
      <c r="D127" s="55"/>
      <c r="E127" s="55"/>
      <c r="F127" s="55"/>
      <c r="G127" s="55"/>
      <c r="H127" s="55"/>
      <c r="I127" s="55"/>
      <c r="J127" s="55"/>
    </row>
    <row r="128" spans="1:10">
      <c r="A128" s="55"/>
      <c r="B128" s="55"/>
      <c r="C128" s="55"/>
      <c r="D128" s="55"/>
      <c r="E128" s="55"/>
      <c r="F128" s="55"/>
      <c r="G128" s="55"/>
      <c r="H128" s="55"/>
      <c r="I128" s="55"/>
      <c r="J128" s="55"/>
    </row>
    <row r="129" spans="1:10">
      <c r="A129" s="55"/>
      <c r="B129" s="55"/>
      <c r="C129" s="55"/>
      <c r="D129" s="55"/>
      <c r="E129" s="55"/>
      <c r="F129" s="55"/>
      <c r="G129" s="55"/>
      <c r="H129" s="55"/>
      <c r="I129" s="55"/>
      <c r="J129" s="55"/>
    </row>
  </sheetData>
  <mergeCells count="106">
    <mergeCell ref="H11:J11"/>
    <mergeCell ref="H12:J12"/>
    <mergeCell ref="H13:J13"/>
    <mergeCell ref="E43:F43"/>
    <mergeCell ref="C44:D44"/>
    <mergeCell ref="C46:D46"/>
    <mergeCell ref="E46:F46"/>
    <mergeCell ref="D13:E13"/>
    <mergeCell ref="D14:E14"/>
    <mergeCell ref="D15:E15"/>
    <mergeCell ref="F35:G35"/>
    <mergeCell ref="D36:E36"/>
    <mergeCell ref="F36:G36"/>
    <mergeCell ref="F15:G15"/>
    <mergeCell ref="D34:E34"/>
    <mergeCell ref="F34:G34"/>
    <mergeCell ref="D32:E32"/>
    <mergeCell ref="D33:E33"/>
    <mergeCell ref="D29:E29"/>
    <mergeCell ref="D30:E30"/>
    <mergeCell ref="D31:E31"/>
    <mergeCell ref="D25:E25"/>
    <mergeCell ref="D26:E26"/>
    <mergeCell ref="D27:E27"/>
    <mergeCell ref="H34:J34"/>
    <mergeCell ref="F26:G26"/>
    <mergeCell ref="F32:G32"/>
    <mergeCell ref="F33:G33"/>
    <mergeCell ref="H28:J28"/>
    <mergeCell ref="F27:G27"/>
    <mergeCell ref="F28:G28"/>
    <mergeCell ref="H27:J27"/>
    <mergeCell ref="F29:G29"/>
    <mergeCell ref="F31:G31"/>
    <mergeCell ref="F30:G30"/>
    <mergeCell ref="H29:J29"/>
    <mergeCell ref="H30:J30"/>
    <mergeCell ref="H31:J31"/>
    <mergeCell ref="H32:J32"/>
    <mergeCell ref="H23:J23"/>
    <mergeCell ref="H24:J24"/>
    <mergeCell ref="D16:E16"/>
    <mergeCell ref="D28:E28"/>
    <mergeCell ref="H25:J25"/>
    <mergeCell ref="H26:J26"/>
    <mergeCell ref="F16:G16"/>
    <mergeCell ref="F20:G20"/>
    <mergeCell ref="F21:G21"/>
    <mergeCell ref="F22:G22"/>
    <mergeCell ref="F23:G23"/>
    <mergeCell ref="F24:G24"/>
    <mergeCell ref="D17:E17"/>
    <mergeCell ref="D18:E18"/>
    <mergeCell ref="D19:E19"/>
    <mergeCell ref="D20:E20"/>
    <mergeCell ref="D21:E21"/>
    <mergeCell ref="D22:E22"/>
    <mergeCell ref="D23:E23"/>
    <mergeCell ref="H36:J36"/>
    <mergeCell ref="D35:E35"/>
    <mergeCell ref="G66:H66"/>
    <mergeCell ref="C53:E53"/>
    <mergeCell ref="F53:G53"/>
    <mergeCell ref="C54:E54"/>
    <mergeCell ref="C55:E55"/>
    <mergeCell ref="E66:F66"/>
    <mergeCell ref="F57:G57"/>
    <mergeCell ref="E64:H64"/>
    <mergeCell ref="F54:G54"/>
    <mergeCell ref="F55:G55"/>
    <mergeCell ref="E49:F49"/>
    <mergeCell ref="E48:F48"/>
    <mergeCell ref="E45:F45"/>
    <mergeCell ref="E44:F44"/>
    <mergeCell ref="E47:F47"/>
    <mergeCell ref="C48:D48"/>
    <mergeCell ref="D39:E39"/>
    <mergeCell ref="C45:D45"/>
    <mergeCell ref="C47:D47"/>
    <mergeCell ref="F37:G37"/>
    <mergeCell ref="H35:J35"/>
    <mergeCell ref="C43:D43"/>
    <mergeCell ref="E7:H7"/>
    <mergeCell ref="H33:J33"/>
    <mergeCell ref="F14:G14"/>
    <mergeCell ref="H17:J17"/>
    <mergeCell ref="H18:J18"/>
    <mergeCell ref="H19:J19"/>
    <mergeCell ref="H20:J20"/>
    <mergeCell ref="H21:J21"/>
    <mergeCell ref="H22:J22"/>
    <mergeCell ref="F25:G25"/>
    <mergeCell ref="D10:E10"/>
    <mergeCell ref="F10:G10"/>
    <mergeCell ref="H10:J10"/>
    <mergeCell ref="D11:E11"/>
    <mergeCell ref="F11:G11"/>
    <mergeCell ref="D12:E12"/>
    <mergeCell ref="F12:G12"/>
    <mergeCell ref="F13:G13"/>
    <mergeCell ref="F17:G17"/>
    <mergeCell ref="F18:G18"/>
    <mergeCell ref="F19:G19"/>
    <mergeCell ref="H15:J15"/>
    <mergeCell ref="H16:J16"/>
    <mergeCell ref="D24:E24"/>
  </mergeCells>
  <phoneticPr fontId="0" type="noConversion"/>
  <pageMargins left="0.59055118110236227" right="0.75" top="1" bottom="1" header="0" footer="0"/>
  <pageSetup paperSize="9" scale="59" orientation="portrait" r:id="rId1"/>
  <headerFooter alignWithMargins="0"/>
  <rowBreaks count="1" manualBreakCount="1">
    <brk id="86" max="9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43"/>
  <sheetViews>
    <sheetView showGridLines="0" topLeftCell="A15" zoomScaleNormal="100" zoomScaleSheetLayoutView="75" workbookViewId="0">
      <selection activeCell="E46" sqref="E46:F46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0">
      <c r="A1" s="55"/>
      <c r="B1" s="55"/>
      <c r="C1" s="86"/>
      <c r="D1" s="86"/>
      <c r="E1" s="86"/>
      <c r="F1" s="86"/>
      <c r="G1" s="86"/>
      <c r="H1" s="86"/>
      <c r="I1" s="86"/>
      <c r="J1" s="86"/>
    </row>
    <row r="2" spans="1:10">
      <c r="A2" s="41"/>
      <c r="B2" s="41"/>
      <c r="C2" s="55"/>
      <c r="D2" s="55"/>
      <c r="E2" s="55"/>
      <c r="F2" s="55"/>
      <c r="G2" s="55"/>
      <c r="H2" s="55"/>
      <c r="I2" s="55"/>
      <c r="J2" s="55"/>
    </row>
    <row r="3" spans="1:10">
      <c r="A3" s="41"/>
      <c r="B3" s="41"/>
      <c r="C3" s="55"/>
      <c r="D3" s="55"/>
      <c r="E3" s="55"/>
      <c r="F3" s="55"/>
      <c r="G3" s="55"/>
      <c r="H3" s="55"/>
      <c r="I3" s="55"/>
      <c r="J3" s="55"/>
    </row>
    <row r="4" spans="1:10">
      <c r="A4" s="106"/>
      <c r="B4" s="106"/>
      <c r="C4" s="55"/>
      <c r="D4" s="55"/>
      <c r="E4" s="55"/>
      <c r="F4" s="55"/>
      <c r="G4" s="55"/>
      <c r="H4" s="55"/>
      <c r="I4" s="55"/>
      <c r="J4" s="55"/>
    </row>
    <row r="5" spans="1:10">
      <c r="A5" s="41"/>
      <c r="B5" s="41"/>
      <c r="C5" s="55"/>
      <c r="D5" s="55"/>
      <c r="E5" s="55"/>
      <c r="F5" s="55"/>
      <c r="G5" s="55"/>
      <c r="H5" s="55"/>
      <c r="I5" s="55"/>
      <c r="J5" s="55"/>
    </row>
    <row r="6" spans="1:10">
      <c r="A6" s="106"/>
      <c r="B6" s="106"/>
      <c r="C6" s="55"/>
      <c r="D6" s="55"/>
      <c r="E6" s="55"/>
      <c r="F6" s="55"/>
      <c r="G6" s="55"/>
      <c r="H6" s="55"/>
      <c r="I6" s="55"/>
      <c r="J6" s="55"/>
    </row>
    <row r="7" spans="1:10" ht="15.75">
      <c r="A7" s="106"/>
      <c r="B7" s="106"/>
      <c r="C7" s="55"/>
      <c r="D7" s="55"/>
      <c r="E7" s="302" t="s">
        <v>56</v>
      </c>
      <c r="F7" s="302"/>
      <c r="G7" s="302"/>
      <c r="H7" s="302"/>
      <c r="I7" s="84" t="s">
        <v>57</v>
      </c>
      <c r="J7" s="85">
        <f>CARÁT!$F$16</f>
        <v>2024</v>
      </c>
    </row>
    <row r="8" spans="1:10">
      <c r="A8" s="106"/>
      <c r="B8" s="106"/>
      <c r="C8" s="55"/>
      <c r="D8" s="55"/>
    </row>
    <row r="9" spans="1:10">
      <c r="A9" s="41"/>
      <c r="B9" s="55"/>
      <c r="C9" s="86"/>
      <c r="D9" s="86"/>
      <c r="E9" s="55"/>
      <c r="F9" s="86"/>
      <c r="G9" s="86"/>
      <c r="H9" s="86"/>
      <c r="I9" s="55"/>
      <c r="J9" s="55"/>
    </row>
    <row r="10" spans="1:10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2"/>
      <c r="H10" s="322" t="s">
        <v>8</v>
      </c>
      <c r="I10" s="324"/>
      <c r="J10" s="323"/>
    </row>
    <row r="11" spans="1:10">
      <c r="A11" s="41"/>
      <c r="B11" s="53">
        <v>34</v>
      </c>
      <c r="C11" s="46">
        <v>45618</v>
      </c>
      <c r="D11" s="303" t="s">
        <v>11</v>
      </c>
      <c r="E11" s="303"/>
      <c r="F11" s="325">
        <v>60810</v>
      </c>
      <c r="G11" s="325"/>
      <c r="H11" s="303" t="s">
        <v>10</v>
      </c>
      <c r="I11" s="303"/>
      <c r="J11" s="303"/>
    </row>
    <row r="12" spans="1:10">
      <c r="A12" s="41"/>
      <c r="B12" s="53">
        <v>35</v>
      </c>
      <c r="C12" s="46">
        <v>45621</v>
      </c>
      <c r="D12" s="363" t="s">
        <v>12</v>
      </c>
      <c r="E12" s="363"/>
      <c r="F12" s="305">
        <v>66120</v>
      </c>
      <c r="G12" s="305"/>
      <c r="H12" s="303" t="s">
        <v>10</v>
      </c>
      <c r="I12" s="303"/>
      <c r="J12" s="303"/>
    </row>
    <row r="13" spans="1:10">
      <c r="A13" s="41"/>
      <c r="B13" s="53">
        <v>36</v>
      </c>
      <c r="C13" s="46">
        <v>45623</v>
      </c>
      <c r="D13" s="363" t="s">
        <v>11</v>
      </c>
      <c r="E13" s="363"/>
      <c r="F13" s="305">
        <v>46560</v>
      </c>
      <c r="G13" s="305"/>
      <c r="H13" s="303" t="s">
        <v>10</v>
      </c>
      <c r="I13" s="303"/>
      <c r="J13" s="303"/>
    </row>
    <row r="14" spans="1:10">
      <c r="A14" s="41"/>
      <c r="B14" s="53"/>
      <c r="C14" s="46"/>
      <c r="D14" s="363"/>
      <c r="E14" s="363"/>
      <c r="F14" s="305"/>
      <c r="G14" s="305"/>
      <c r="H14" s="47"/>
      <c r="I14" s="47"/>
      <c r="J14" s="47"/>
    </row>
    <row r="15" spans="1:10">
      <c r="A15" s="41"/>
      <c r="B15" s="53"/>
      <c r="C15" s="46"/>
      <c r="D15" s="363"/>
      <c r="E15" s="363"/>
      <c r="F15" s="305"/>
      <c r="G15" s="305"/>
      <c r="H15" s="47"/>
      <c r="I15" s="47"/>
      <c r="J15" s="47"/>
    </row>
    <row r="16" spans="1:10">
      <c r="A16" s="41"/>
      <c r="B16" s="53"/>
      <c r="C16" s="46"/>
      <c r="D16" s="303"/>
      <c r="E16" s="303"/>
      <c r="F16" s="305"/>
      <c r="G16" s="305"/>
      <c r="H16" s="47"/>
      <c r="I16" s="47"/>
      <c r="J16" s="47"/>
    </row>
    <row r="17" spans="1:10">
      <c r="A17" s="41"/>
      <c r="B17" s="53"/>
      <c r="C17" s="46"/>
      <c r="D17" s="363"/>
      <c r="E17" s="363"/>
      <c r="F17" s="305"/>
      <c r="G17" s="305"/>
      <c r="H17" s="47"/>
      <c r="I17" s="47"/>
      <c r="J17" s="47"/>
    </row>
    <row r="18" spans="1:10">
      <c r="A18" s="41"/>
      <c r="B18" s="53"/>
      <c r="C18" s="46"/>
      <c r="D18" s="303"/>
      <c r="E18" s="303"/>
      <c r="F18" s="305"/>
      <c r="G18" s="305"/>
      <c r="H18" s="47"/>
      <c r="I18" s="47"/>
      <c r="J18" s="47"/>
    </row>
    <row r="19" spans="1:10">
      <c r="A19" s="41"/>
      <c r="B19" s="53"/>
      <c r="C19" s="46"/>
      <c r="D19" s="303"/>
      <c r="E19" s="303"/>
      <c r="F19" s="305"/>
      <c r="G19" s="305"/>
      <c r="H19" s="47"/>
      <c r="I19" s="47"/>
      <c r="J19" s="47"/>
    </row>
    <row r="20" spans="1:10">
      <c r="A20" s="41"/>
      <c r="B20" s="53"/>
      <c r="C20" s="46"/>
      <c r="D20" s="303"/>
      <c r="E20" s="303"/>
      <c r="F20" s="305"/>
      <c r="G20" s="305"/>
      <c r="H20" s="47"/>
      <c r="I20" s="47"/>
      <c r="J20" s="47"/>
    </row>
    <row r="21" spans="1:10">
      <c r="A21" s="41"/>
      <c r="B21" s="53"/>
      <c r="C21" s="46"/>
      <c r="D21" s="303"/>
      <c r="E21" s="303"/>
      <c r="F21" s="305"/>
      <c r="G21" s="305"/>
      <c r="H21" s="47"/>
      <c r="I21" s="47"/>
      <c r="J21" s="47"/>
    </row>
    <row r="22" spans="1:10">
      <c r="A22" s="41"/>
      <c r="B22" s="53"/>
      <c r="C22" s="46"/>
      <c r="D22" s="303"/>
      <c r="E22" s="303"/>
      <c r="F22" s="305"/>
      <c r="G22" s="305"/>
      <c r="H22" s="47"/>
      <c r="I22" s="47"/>
      <c r="J22" s="47"/>
    </row>
    <row r="23" spans="1:10">
      <c r="A23" s="41"/>
      <c r="B23" s="53"/>
      <c r="C23" s="46"/>
      <c r="D23" s="303"/>
      <c r="E23" s="303"/>
      <c r="F23" s="305"/>
      <c r="G23" s="305"/>
      <c r="H23" s="47"/>
      <c r="I23" s="47"/>
      <c r="J23" s="47"/>
    </row>
    <row r="24" spans="1:10">
      <c r="A24" s="41"/>
      <c r="B24" s="41"/>
      <c r="C24" s="46"/>
      <c r="D24" s="303"/>
      <c r="E24" s="303"/>
      <c r="F24" s="304"/>
      <c r="G24" s="304"/>
      <c r="H24" s="303"/>
      <c r="I24" s="303"/>
      <c r="J24" s="303"/>
    </row>
    <row r="25" spans="1:10">
      <c r="A25" s="41"/>
      <c r="B25" s="41"/>
      <c r="C25" s="46"/>
      <c r="D25" s="303"/>
      <c r="E25" s="303"/>
      <c r="F25" s="304"/>
      <c r="G25" s="304"/>
      <c r="H25" s="303"/>
      <c r="I25" s="303"/>
      <c r="J25" s="303"/>
    </row>
    <row r="26" spans="1:10">
      <c r="A26" s="41"/>
      <c r="B26" s="41"/>
      <c r="C26" s="46"/>
      <c r="D26" s="303"/>
      <c r="E26" s="303"/>
      <c r="F26" s="304"/>
      <c r="G26" s="304"/>
      <c r="H26" s="303"/>
      <c r="I26" s="303"/>
      <c r="J26" s="303"/>
    </row>
    <row r="27" spans="1:10">
      <c r="A27" s="41"/>
      <c r="B27" s="41"/>
      <c r="C27" s="46"/>
      <c r="D27" s="303"/>
      <c r="E27" s="303"/>
      <c r="F27" s="304"/>
      <c r="G27" s="304"/>
      <c r="H27" s="303"/>
      <c r="I27" s="303"/>
      <c r="J27" s="303"/>
    </row>
    <row r="28" spans="1:10">
      <c r="A28" s="41"/>
      <c r="B28" s="41"/>
      <c r="C28" s="46"/>
      <c r="D28" s="303"/>
      <c r="E28" s="303"/>
      <c r="F28" s="304"/>
      <c r="G28" s="304"/>
      <c r="H28" s="303"/>
      <c r="I28" s="303"/>
      <c r="J28" s="303"/>
    </row>
    <row r="29" spans="1:10">
      <c r="A29" s="41"/>
      <c r="B29" s="41"/>
      <c r="C29" s="46"/>
      <c r="D29" s="303"/>
      <c r="E29" s="303"/>
      <c r="F29" s="304"/>
      <c r="G29" s="304"/>
      <c r="H29" s="303"/>
      <c r="I29" s="303"/>
      <c r="J29" s="303"/>
    </row>
    <row r="30" spans="1:10">
      <c r="A30" s="41"/>
      <c r="B30" s="41"/>
      <c r="C30" s="46"/>
      <c r="D30" s="303"/>
      <c r="E30" s="303"/>
      <c r="F30" s="304"/>
      <c r="G30" s="304"/>
      <c r="H30" s="303"/>
      <c r="I30" s="303"/>
      <c r="J30" s="303"/>
    </row>
    <row r="31" spans="1:10">
      <c r="A31" s="41"/>
      <c r="B31" s="41"/>
      <c r="C31" s="46"/>
      <c r="D31" s="303"/>
      <c r="E31" s="303"/>
      <c r="F31" s="304"/>
      <c r="G31" s="304"/>
      <c r="H31" s="347"/>
      <c r="I31" s="347"/>
      <c r="J31" s="41"/>
    </row>
    <row r="32" spans="1:10">
      <c r="A32" s="41"/>
      <c r="B32" s="41"/>
      <c r="C32" s="46"/>
      <c r="D32" s="303"/>
      <c r="E32" s="303"/>
      <c r="F32" s="304"/>
      <c r="G32" s="304"/>
      <c r="H32" s="347"/>
      <c r="I32" s="347"/>
      <c r="J32" s="41"/>
    </row>
    <row r="33" spans="1:10">
      <c r="A33" s="41"/>
      <c r="B33" s="41"/>
      <c r="C33" s="46"/>
      <c r="D33" s="303"/>
      <c r="E33" s="303"/>
      <c r="F33" s="304"/>
      <c r="G33" s="304"/>
      <c r="H33" s="347"/>
      <c r="I33" s="347"/>
      <c r="J33" s="41"/>
    </row>
    <row r="34" spans="1:10">
      <c r="A34" s="41"/>
      <c r="B34" s="41"/>
      <c r="C34" s="46"/>
      <c r="D34" s="303"/>
      <c r="E34" s="303"/>
      <c r="F34" s="304"/>
      <c r="G34" s="304"/>
      <c r="H34" s="347"/>
      <c r="I34" s="347"/>
      <c r="J34" s="41"/>
    </row>
    <row r="35" spans="1:10">
      <c r="A35" s="41"/>
      <c r="B35" s="41"/>
      <c r="C35" s="46"/>
      <c r="D35" s="303"/>
      <c r="E35" s="303"/>
      <c r="F35" s="304"/>
      <c r="G35" s="304"/>
      <c r="H35" s="347"/>
      <c r="I35" s="347"/>
      <c r="J35" s="41"/>
    </row>
    <row r="36" spans="1:10">
      <c r="A36" s="41"/>
      <c r="B36" s="41"/>
      <c r="C36" s="46"/>
      <c r="D36" s="41"/>
      <c r="E36" s="41"/>
      <c r="F36" s="49"/>
      <c r="G36" s="49"/>
      <c r="H36" s="124"/>
      <c r="I36" s="124"/>
      <c r="J36" s="41"/>
    </row>
    <row r="37" spans="1:10">
      <c r="A37" s="41"/>
      <c r="B37" s="41"/>
      <c r="C37" s="46"/>
      <c r="D37" s="303"/>
      <c r="E37" s="303"/>
      <c r="F37" s="304"/>
      <c r="G37" s="304"/>
      <c r="H37" s="347"/>
      <c r="I37" s="347"/>
      <c r="J37" s="41"/>
    </row>
    <row r="38" spans="1:10">
      <c r="A38" s="41"/>
      <c r="B38" s="41"/>
      <c r="C38" s="46"/>
      <c r="D38" s="41"/>
      <c r="E38" s="41"/>
      <c r="F38" s="63"/>
      <c r="G38" s="63"/>
      <c r="H38" s="41"/>
      <c r="I38" s="41"/>
      <c r="J38" s="41"/>
    </row>
    <row r="39" spans="1:10">
      <c r="A39" s="41"/>
      <c r="B39" s="41"/>
      <c r="C39" s="51"/>
      <c r="D39" s="52"/>
      <c r="E39" s="52"/>
      <c r="F39" s="329">
        <f>SUM(F11:G37)</f>
        <v>173490</v>
      </c>
      <c r="G39" s="330"/>
      <c r="H39" s="53"/>
      <c r="I39" s="53"/>
      <c r="J39" s="53"/>
    </row>
    <row r="40" spans="1:10">
      <c r="A40" s="41"/>
      <c r="B40" s="41"/>
      <c r="C40" s="55"/>
      <c r="D40" s="55"/>
      <c r="E40" s="56"/>
      <c r="F40" s="55"/>
      <c r="G40" s="55"/>
      <c r="H40" s="55"/>
      <c r="I40" s="55"/>
      <c r="J40" s="55"/>
    </row>
    <row r="41" spans="1:10">
      <c r="A41" s="41"/>
      <c r="B41" s="41"/>
      <c r="C41" s="55"/>
      <c r="D41" s="319" t="s">
        <v>14</v>
      </c>
      <c r="E41" s="319"/>
      <c r="F41" s="55"/>
      <c r="G41" s="58">
        <f>F39/1000</f>
        <v>173.49</v>
      </c>
      <c r="H41" s="55"/>
      <c r="I41" s="55"/>
      <c r="J41" s="55"/>
    </row>
    <row r="42" spans="1:10">
      <c r="A42" s="41"/>
      <c r="B42" s="41"/>
      <c r="C42" s="55"/>
      <c r="D42" s="55"/>
      <c r="E42" s="56"/>
      <c r="F42" s="55"/>
      <c r="G42" s="55"/>
      <c r="H42" s="55"/>
      <c r="I42" s="55"/>
      <c r="J42" s="55"/>
    </row>
    <row r="43" spans="1:10">
      <c r="A43" s="41"/>
      <c r="B43" s="41"/>
      <c r="C43" s="55"/>
      <c r="D43" s="55"/>
      <c r="E43" s="55"/>
      <c r="F43" s="55"/>
      <c r="G43" s="55"/>
      <c r="H43" s="55"/>
      <c r="I43" s="55"/>
      <c r="J43" s="55"/>
    </row>
    <row r="44" spans="1:10">
      <c r="A44" s="41"/>
      <c r="B44" s="41"/>
      <c r="C44" s="317" t="s">
        <v>15</v>
      </c>
      <c r="D44" s="317"/>
      <c r="E44" s="317" t="s">
        <v>16</v>
      </c>
      <c r="F44" s="317"/>
      <c r="G44" s="59" t="s">
        <v>17</v>
      </c>
      <c r="H44" s="59" t="s">
        <v>18</v>
      </c>
      <c r="I44" s="55"/>
      <c r="J44" s="55"/>
    </row>
    <row r="45" spans="1:10">
      <c r="A45" s="41"/>
      <c r="B45" s="41"/>
      <c r="C45" s="303" t="s">
        <v>19</v>
      </c>
      <c r="D45" s="303"/>
      <c r="E45" s="364">
        <f>F11+F12+F13</f>
        <v>173490</v>
      </c>
      <c r="F45" s="364"/>
      <c r="G45" s="61">
        <f>+E45/E51</f>
        <v>1</v>
      </c>
      <c r="H45" s="62">
        <v>3</v>
      </c>
      <c r="I45" s="55"/>
      <c r="J45" s="55"/>
    </row>
    <row r="46" spans="1:10">
      <c r="A46" s="41"/>
      <c r="B46" s="41"/>
      <c r="C46" s="303"/>
      <c r="D46" s="303"/>
      <c r="E46" s="364"/>
      <c r="F46" s="364"/>
      <c r="G46" s="61">
        <f>+E46/E51</f>
        <v>0</v>
      </c>
      <c r="H46" s="62"/>
      <c r="I46" s="55"/>
      <c r="J46" s="55"/>
    </row>
    <row r="47" spans="1:10">
      <c r="A47" s="41"/>
      <c r="B47" s="41"/>
      <c r="C47" s="303"/>
      <c r="D47" s="303"/>
      <c r="E47" s="364"/>
      <c r="F47" s="364"/>
      <c r="G47" s="61">
        <f>+E47/E51</f>
        <v>0</v>
      </c>
      <c r="H47" s="62"/>
      <c r="I47" s="55"/>
      <c r="J47" s="55"/>
    </row>
    <row r="48" spans="1:10">
      <c r="A48" s="41"/>
      <c r="B48" s="41"/>
      <c r="C48" s="47"/>
      <c r="D48" s="47"/>
      <c r="E48" s="60"/>
      <c r="F48" s="60"/>
      <c r="G48" s="61">
        <f>F48/E51</f>
        <v>0</v>
      </c>
      <c r="H48" s="62"/>
      <c r="I48" s="55"/>
      <c r="J48" s="55"/>
    </row>
    <row r="49" spans="1:10">
      <c r="A49" s="41"/>
      <c r="B49" s="41"/>
      <c r="C49" s="303"/>
      <c r="D49" s="303"/>
      <c r="E49" s="304"/>
      <c r="F49" s="304"/>
      <c r="G49" s="61">
        <f>+E49/E51</f>
        <v>0</v>
      </c>
      <c r="H49" s="62"/>
      <c r="I49" s="55"/>
      <c r="J49" s="55"/>
    </row>
    <row r="50" spans="1:10">
      <c r="A50" s="41"/>
      <c r="B50" s="41"/>
      <c r="C50" s="303"/>
      <c r="D50" s="303"/>
      <c r="E50" s="304"/>
      <c r="F50" s="304"/>
      <c r="G50" s="61">
        <f>+E50/E51</f>
        <v>0</v>
      </c>
      <c r="H50" s="62"/>
      <c r="I50" s="55"/>
      <c r="J50" s="55"/>
    </row>
    <row r="51" spans="1:10">
      <c r="A51" s="41"/>
      <c r="B51" s="41"/>
      <c r="C51" s="64"/>
      <c r="D51" s="57" t="s">
        <v>21</v>
      </c>
      <c r="E51" s="365">
        <f>SUM(E45:F50)</f>
        <v>173490</v>
      </c>
      <c r="F51" s="365"/>
      <c r="G51" s="65">
        <f>SUM(G45:G50)</f>
        <v>1</v>
      </c>
      <c r="H51" s="66">
        <f>SUM(H45:H50)</f>
        <v>3</v>
      </c>
      <c r="I51" s="55"/>
      <c r="J51" s="55"/>
    </row>
    <row r="52" spans="1:10">
      <c r="A52" s="41"/>
      <c r="B52" s="41"/>
      <c r="C52" s="67"/>
      <c r="D52" s="67"/>
      <c r="E52" s="52"/>
      <c r="F52" s="52"/>
      <c r="G52" s="52"/>
      <c r="H52" s="55"/>
      <c r="I52" s="55"/>
      <c r="J52" s="55"/>
    </row>
    <row r="53" spans="1:10">
      <c r="A53" s="41"/>
      <c r="B53" s="41"/>
      <c r="C53" s="55"/>
      <c r="D53" s="55"/>
      <c r="E53" s="54"/>
      <c r="F53" s="69"/>
      <c r="G53" s="70"/>
      <c r="H53" s="55"/>
      <c r="I53" s="55"/>
      <c r="J53" s="55"/>
    </row>
    <row r="54" spans="1:10">
      <c r="A54" s="41"/>
      <c r="B54" s="41"/>
      <c r="C54" s="68"/>
      <c r="D54" s="55"/>
      <c r="E54" s="54"/>
      <c r="F54" s="69"/>
      <c r="G54" s="70"/>
      <c r="H54" s="55"/>
      <c r="I54" s="55"/>
      <c r="J54" s="55"/>
    </row>
    <row r="55" spans="1:10">
      <c r="A55" s="41"/>
      <c r="B55" s="41"/>
      <c r="C55" s="313" t="s">
        <v>8</v>
      </c>
      <c r="D55" s="314"/>
      <c r="E55" s="315"/>
      <c r="F55" s="316" t="s">
        <v>7</v>
      </c>
      <c r="G55" s="317"/>
      <c r="H55" s="59" t="s">
        <v>17</v>
      </c>
      <c r="I55" s="55"/>
      <c r="J55" s="55"/>
    </row>
    <row r="56" spans="1:10">
      <c r="A56" s="41"/>
      <c r="B56" s="41"/>
      <c r="C56" s="303" t="s">
        <v>22</v>
      </c>
      <c r="D56" s="303"/>
      <c r="E56" s="303"/>
      <c r="F56" s="312"/>
      <c r="G56" s="312"/>
      <c r="H56" s="61">
        <f>+F56/F59</f>
        <v>0</v>
      </c>
      <c r="I56" s="55"/>
      <c r="J56" s="55"/>
    </row>
    <row r="57" spans="1:10">
      <c r="A57" s="41"/>
      <c r="B57" s="41"/>
      <c r="C57" s="303" t="s">
        <v>23</v>
      </c>
      <c r="D57" s="303"/>
      <c r="E57" s="303"/>
      <c r="F57" s="304">
        <f>F39</f>
        <v>173490</v>
      </c>
      <c r="G57" s="304"/>
      <c r="H57" s="61">
        <f>+F57/F59</f>
        <v>1</v>
      </c>
      <c r="I57" s="55"/>
      <c r="J57" s="55"/>
    </row>
    <row r="58" spans="1:10">
      <c r="A58" s="41"/>
      <c r="B58" s="41"/>
      <c r="C58" s="55"/>
      <c r="D58" s="55"/>
      <c r="E58" s="55"/>
      <c r="F58" s="49"/>
      <c r="G58" s="49"/>
      <c r="H58" s="61"/>
      <c r="I58" s="55"/>
      <c r="J58" s="55"/>
    </row>
    <row r="59" spans="1:10">
      <c r="A59" s="41"/>
      <c r="B59" s="41"/>
      <c r="C59" s="55"/>
      <c r="D59" s="55" t="s">
        <v>21</v>
      </c>
      <c r="E59" s="55"/>
      <c r="F59" s="308">
        <f>SUM(F56:G58)</f>
        <v>173490</v>
      </c>
      <c r="G59" s="308"/>
      <c r="H59" s="65">
        <f>SUM(H56:H58)</f>
        <v>1</v>
      </c>
      <c r="I59" s="55"/>
      <c r="J59" s="55"/>
    </row>
    <row r="60" spans="1:10">
      <c r="A60" s="41"/>
      <c r="B60" s="41"/>
      <c r="C60" s="55"/>
      <c r="D60" s="55"/>
      <c r="E60" s="55"/>
      <c r="F60" s="88"/>
      <c r="G60" s="88"/>
      <c r="H60" s="89"/>
      <c r="I60" s="55"/>
      <c r="J60" s="55"/>
    </row>
    <row r="61" spans="1:10">
      <c r="A61" s="41"/>
      <c r="B61" s="41"/>
      <c r="C61" s="55"/>
      <c r="D61" s="54"/>
      <c r="E61" s="107"/>
      <c r="F61" s="55"/>
      <c r="G61" s="55"/>
      <c r="H61" s="55"/>
      <c r="I61" s="55"/>
      <c r="J61" s="55"/>
    </row>
    <row r="62" spans="1:10">
      <c r="A62" s="41"/>
      <c r="B62" s="41"/>
      <c r="C62" s="55"/>
      <c r="D62" s="55"/>
      <c r="E62" s="309" t="s">
        <v>24</v>
      </c>
      <c r="F62" s="309"/>
      <c r="G62" s="309"/>
      <c r="H62" s="309"/>
      <c r="I62" s="55"/>
      <c r="J62" s="55"/>
    </row>
    <row r="63" spans="1:10">
      <c r="A63" s="41"/>
      <c r="B63" s="41"/>
      <c r="C63" s="55"/>
      <c r="D63" s="108"/>
      <c r="E63" s="55"/>
      <c r="F63" s="55"/>
      <c r="G63" s="55"/>
      <c r="H63" s="55"/>
      <c r="I63" s="55"/>
      <c r="J63" s="55"/>
    </row>
    <row r="64" spans="1:10">
      <c r="A64" s="41"/>
      <c r="B64" s="55"/>
      <c r="C64" s="55"/>
      <c r="D64" s="109" t="s">
        <v>25</v>
      </c>
      <c r="E64" s="336" t="s">
        <v>26</v>
      </c>
      <c r="F64" s="337"/>
      <c r="G64" s="336" t="s">
        <v>27</v>
      </c>
      <c r="H64" s="337"/>
      <c r="I64" s="55"/>
      <c r="J64" s="55"/>
    </row>
    <row r="65" spans="1:10">
      <c r="A65" s="41"/>
      <c r="B65" s="55"/>
      <c r="C65" s="55"/>
      <c r="D65" s="110" t="s">
        <v>28</v>
      </c>
      <c r="E65" s="118" t="s">
        <v>29</v>
      </c>
      <c r="F65" s="118" t="s">
        <v>30</v>
      </c>
      <c r="G65" s="119" t="s">
        <v>29</v>
      </c>
      <c r="H65" s="119" t="s">
        <v>30</v>
      </c>
      <c r="I65" s="55"/>
      <c r="J65" s="55"/>
    </row>
    <row r="66" spans="1:10">
      <c r="A66" s="41"/>
      <c r="B66" s="55"/>
      <c r="C66" s="55"/>
      <c r="D66" s="90" t="s">
        <v>31</v>
      </c>
      <c r="E66" s="91">
        <f>Comparativos!$BA$13</f>
        <v>123.39</v>
      </c>
      <c r="F66" s="92">
        <f>Comparativos!$BB$13</f>
        <v>4</v>
      </c>
      <c r="G66" s="127">
        <f>ENE!$G$46</f>
        <v>417.87</v>
      </c>
      <c r="H66" s="92">
        <f>ENE!$H$55</f>
        <v>8</v>
      </c>
      <c r="I66" s="55"/>
      <c r="J66" s="55"/>
    </row>
    <row r="67" spans="1:10">
      <c r="A67" s="41"/>
      <c r="B67" s="55"/>
      <c r="C67" s="55"/>
      <c r="D67" s="90" t="s">
        <v>33</v>
      </c>
      <c r="E67" s="121">
        <f>Comparativos!$BA$14</f>
        <v>176.79</v>
      </c>
      <c r="F67" s="113">
        <f>Comparativos!$BB$14</f>
        <v>6</v>
      </c>
      <c r="G67" s="100">
        <f>FEB!$G$48</f>
        <v>127.8</v>
      </c>
      <c r="H67" s="101">
        <f>FEB!$H$57</f>
        <v>2</v>
      </c>
      <c r="I67" s="55"/>
      <c r="J67" s="55"/>
    </row>
    <row r="68" spans="1:10">
      <c r="A68" s="41"/>
      <c r="B68" s="55"/>
      <c r="C68" s="55"/>
      <c r="D68" s="90" t="s">
        <v>35</v>
      </c>
      <c r="E68" s="121">
        <f>Comparativos!$BA$15</f>
        <v>370.56</v>
      </c>
      <c r="F68" s="113">
        <f>Comparativos!$BB$15</f>
        <v>11</v>
      </c>
      <c r="G68" s="100">
        <f>MAR!$G$43</f>
        <v>78.06</v>
      </c>
      <c r="H68" s="101">
        <f>MAR!$H$51</f>
        <v>2</v>
      </c>
      <c r="I68" s="55"/>
      <c r="J68" s="55"/>
    </row>
    <row r="69" spans="1:10">
      <c r="A69" s="41"/>
      <c r="B69" s="55"/>
      <c r="C69" s="55"/>
      <c r="D69" s="90" t="s">
        <v>37</v>
      </c>
      <c r="E69" s="121">
        <f>Comparativos!$BA$16</f>
        <v>201.99</v>
      </c>
      <c r="F69" s="113">
        <f>Comparativos!$BB$16</f>
        <v>8</v>
      </c>
      <c r="G69" s="100">
        <f>ABR!$G$41</f>
        <v>0</v>
      </c>
      <c r="H69" s="101">
        <f>ABR!$H$50</f>
        <v>0</v>
      </c>
      <c r="I69" s="55"/>
      <c r="J69" s="55"/>
    </row>
    <row r="70" spans="1:10">
      <c r="A70" s="41"/>
      <c r="B70" s="55"/>
      <c r="C70" s="55"/>
      <c r="D70" s="90" t="s">
        <v>39</v>
      </c>
      <c r="E70" s="121">
        <f>Comparativos!$BA$17</f>
        <v>60.9</v>
      </c>
      <c r="F70" s="113">
        <f>Comparativos!$BB$17</f>
        <v>2</v>
      </c>
      <c r="G70" s="54">
        <f>MAY!$G$44</f>
        <v>0</v>
      </c>
      <c r="H70" s="113">
        <f>MAY!$H$52</f>
        <v>0</v>
      </c>
      <c r="I70" s="55"/>
      <c r="J70" s="55"/>
    </row>
    <row r="71" spans="1:10">
      <c r="A71" s="41"/>
      <c r="B71" s="55"/>
      <c r="C71" s="55"/>
      <c r="D71" s="90" t="s">
        <v>41</v>
      </c>
      <c r="E71" s="121">
        <f>Comparativos!$BA$18</f>
        <v>0</v>
      </c>
      <c r="F71" s="113">
        <f>Comparativos!$BB$18</f>
        <v>0</v>
      </c>
      <c r="G71" s="54">
        <f>JUN!$G$33</f>
        <v>32.46</v>
      </c>
      <c r="H71" s="113">
        <f>JUN!$H$42</f>
        <v>1</v>
      </c>
      <c r="I71" s="55"/>
      <c r="J71" s="55"/>
    </row>
    <row r="72" spans="1:10">
      <c r="A72" s="41"/>
      <c r="B72" s="55"/>
      <c r="C72" s="55"/>
      <c r="D72" s="90" t="s">
        <v>47</v>
      </c>
      <c r="E72" s="121">
        <f>Comparativos!$BA$20</f>
        <v>0</v>
      </c>
      <c r="F72" s="113">
        <f>Comparativos!$BB$20</f>
        <v>0</v>
      </c>
      <c r="G72" s="54">
        <f>JUL!$G$33</f>
        <v>79.47</v>
      </c>
      <c r="H72" s="113">
        <f>JUL!$H$42</f>
        <v>1</v>
      </c>
      <c r="I72" s="55"/>
      <c r="J72" s="55"/>
    </row>
    <row r="73" spans="1:10">
      <c r="A73" s="41"/>
      <c r="B73" s="55"/>
      <c r="C73" s="55"/>
      <c r="D73" s="90" t="s">
        <v>49</v>
      </c>
      <c r="E73" s="121">
        <f>Comparativos!$BA$21</f>
        <v>132.38999999999999</v>
      </c>
      <c r="F73" s="113">
        <f>Comparativos!$BB$21</f>
        <v>4</v>
      </c>
      <c r="G73" s="54">
        <f>AGO!$G$36</f>
        <v>41.4</v>
      </c>
      <c r="H73" s="113">
        <f>AGO!$H$47</f>
        <v>2</v>
      </c>
      <c r="I73" s="55"/>
      <c r="J73" s="55"/>
    </row>
    <row r="74" spans="1:10">
      <c r="A74" s="41"/>
      <c r="B74" s="55"/>
      <c r="C74" s="55"/>
      <c r="D74" s="90" t="s">
        <v>51</v>
      </c>
      <c r="E74" s="121">
        <f>Comparativos!$BA$22</f>
        <v>142.59</v>
      </c>
      <c r="F74" s="113">
        <f>Comparativos!$BB$22</f>
        <v>3</v>
      </c>
      <c r="G74" s="54">
        <f>SEP!$G$43</f>
        <v>146.72999999999999</v>
      </c>
      <c r="H74" s="113">
        <f>SEP!$H$53</f>
        <v>4</v>
      </c>
      <c r="I74" s="55"/>
      <c r="J74" s="55"/>
    </row>
    <row r="75" spans="1:10">
      <c r="A75" s="41"/>
      <c r="B75" s="55"/>
      <c r="C75" s="55"/>
      <c r="D75" s="90" t="s">
        <v>55</v>
      </c>
      <c r="E75" s="121">
        <f>Comparativos!$BA$23</f>
        <v>218.52</v>
      </c>
      <c r="F75" s="113">
        <f>Comparativos!$BB$23</f>
        <v>4</v>
      </c>
      <c r="G75" s="122">
        <f>OCT!$G$39</f>
        <v>53.67</v>
      </c>
      <c r="H75" s="120">
        <f>OCT!$H$49</f>
        <v>1</v>
      </c>
      <c r="I75" s="55"/>
      <c r="J75" s="55"/>
    </row>
    <row r="76" spans="1:10">
      <c r="A76" s="41"/>
      <c r="B76" s="55"/>
      <c r="C76" s="55"/>
      <c r="D76" s="94" t="s">
        <v>58</v>
      </c>
      <c r="E76" s="114">
        <f>Comparativos!$BA$24</f>
        <v>775.32</v>
      </c>
      <c r="F76" s="117">
        <f>Comparativos!$BB$24</f>
        <v>13</v>
      </c>
      <c r="G76" s="123">
        <f>G41</f>
        <v>173.49</v>
      </c>
      <c r="H76" s="115">
        <f>H51</f>
        <v>3</v>
      </c>
      <c r="I76" s="55"/>
      <c r="J76" s="55"/>
    </row>
    <row r="77" spans="1:10">
      <c r="A77" s="41"/>
      <c r="B77" s="55"/>
      <c r="C77" s="55"/>
      <c r="D77" s="55"/>
      <c r="E77" s="55"/>
      <c r="F77" s="55"/>
      <c r="G77" s="55"/>
      <c r="H77" s="55"/>
      <c r="I77" s="55"/>
      <c r="J77" s="55"/>
    </row>
    <row r="78" spans="1:10">
      <c r="A78" s="41"/>
      <c r="B78" s="55"/>
      <c r="C78" s="55"/>
      <c r="D78" s="55"/>
      <c r="E78" s="79">
        <f>SUM(E66:E77)</f>
        <v>2202.4499999999998</v>
      </c>
      <c r="F78" s="80">
        <f>SUM(F66:F77)</f>
        <v>55</v>
      </c>
      <c r="G78" s="79">
        <f>SUM(G66:G76)</f>
        <v>1150.95</v>
      </c>
      <c r="H78" s="80">
        <f>SUM(H66:H76)</f>
        <v>24</v>
      </c>
      <c r="I78" s="55"/>
      <c r="J78" s="55"/>
    </row>
    <row r="79" spans="1:10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80" spans="1:10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0">
      <c r="A81" s="55"/>
      <c r="B81" s="55"/>
      <c r="C81" s="55"/>
      <c r="D81" s="55"/>
      <c r="E81" s="55"/>
      <c r="F81" s="55"/>
      <c r="G81" s="55"/>
      <c r="H81" s="55"/>
      <c r="I81" s="55"/>
      <c r="J81" s="55"/>
    </row>
    <row r="82" spans="1:10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0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0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0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0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0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0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0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0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0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0">
      <c r="A93" s="55"/>
    </row>
    <row r="94" spans="1:10">
      <c r="A94" s="55"/>
    </row>
    <row r="95" spans="1:10">
      <c r="A95" s="55"/>
    </row>
    <row r="96" spans="1:10">
      <c r="A96" s="55"/>
    </row>
    <row r="97" spans="1:1">
      <c r="A97" s="55"/>
    </row>
    <row r="98" spans="1:1">
      <c r="A98" s="55"/>
    </row>
    <row r="99" spans="1:1">
      <c r="A99" s="55"/>
    </row>
    <row r="100" spans="1:1">
      <c r="A100" s="55"/>
    </row>
    <row r="101" spans="1:1">
      <c r="A101" s="55"/>
    </row>
    <row r="102" spans="1:1">
      <c r="A102" s="55"/>
    </row>
    <row r="103" spans="1:1">
      <c r="A103" s="55"/>
    </row>
    <row r="104" spans="1:1">
      <c r="A104" s="55"/>
    </row>
    <row r="105" spans="1:1">
      <c r="A105" s="55"/>
    </row>
    <row r="106" spans="1:1">
      <c r="A106" s="55"/>
    </row>
    <row r="107" spans="1:1">
      <c r="A107" s="55"/>
    </row>
    <row r="108" spans="1:1">
      <c r="A108" s="55"/>
    </row>
    <row r="109" spans="1:1">
      <c r="A109" s="55"/>
    </row>
    <row r="110" spans="1:1">
      <c r="A110" s="55"/>
    </row>
    <row r="111" spans="1:1">
      <c r="A111" s="55"/>
    </row>
    <row r="112" spans="1:1">
      <c r="A112" s="55"/>
    </row>
    <row r="113" spans="1:1">
      <c r="A113" s="55"/>
    </row>
    <row r="114" spans="1:1">
      <c r="A114" s="55"/>
    </row>
    <row r="115" spans="1:1">
      <c r="A115" s="55"/>
    </row>
    <row r="116" spans="1:1">
      <c r="A116" s="55"/>
    </row>
    <row r="117" spans="1:1">
      <c r="A117" s="55"/>
    </row>
    <row r="118" spans="1:1">
      <c r="A118" s="55"/>
    </row>
    <row r="119" spans="1:1">
      <c r="A119" s="55"/>
    </row>
    <row r="120" spans="1:1">
      <c r="A120" s="55"/>
    </row>
    <row r="121" spans="1:1">
      <c r="A121" s="55"/>
    </row>
    <row r="122" spans="1:1">
      <c r="A122" s="55"/>
    </row>
    <row r="123" spans="1:1">
      <c r="A123" s="55"/>
    </row>
    <row r="124" spans="1:1">
      <c r="A124" s="55"/>
    </row>
    <row r="125" spans="1:1">
      <c r="A125" s="55"/>
    </row>
    <row r="126" spans="1:1">
      <c r="A126" s="55"/>
    </row>
    <row r="127" spans="1:1">
      <c r="A127" s="55"/>
    </row>
    <row r="128" spans="1:1">
      <c r="A128" s="55"/>
    </row>
    <row r="129" spans="1:1">
      <c r="A129" s="55"/>
    </row>
    <row r="130" spans="1:1">
      <c r="A130" s="55"/>
    </row>
    <row r="131" spans="1:1">
      <c r="A131" s="55"/>
    </row>
    <row r="132" spans="1:1">
      <c r="A132" s="55"/>
    </row>
    <row r="133" spans="1:1">
      <c r="A133" s="55"/>
    </row>
    <row r="134" spans="1:1">
      <c r="A134" s="55"/>
    </row>
    <row r="135" spans="1:1">
      <c r="A135" s="55"/>
    </row>
    <row r="136" spans="1:1">
      <c r="A136" s="55"/>
    </row>
    <row r="137" spans="1:1">
      <c r="A137" s="55"/>
    </row>
    <row r="138" spans="1:1">
      <c r="A138" s="55"/>
    </row>
    <row r="139" spans="1:1">
      <c r="A139" s="55"/>
    </row>
    <row r="140" spans="1:1">
      <c r="A140" s="55"/>
    </row>
    <row r="141" spans="1:1">
      <c r="A141" s="55"/>
    </row>
    <row r="142" spans="1:1">
      <c r="A142" s="55"/>
    </row>
    <row r="143" spans="1:1">
      <c r="A143" s="55"/>
    </row>
  </sheetData>
  <mergeCells count="97">
    <mergeCell ref="H10:J10"/>
    <mergeCell ref="D12:E12"/>
    <mergeCell ref="F12:G12"/>
    <mergeCell ref="D24:E24"/>
    <mergeCell ref="F23:G23"/>
    <mergeCell ref="F24:G24"/>
    <mergeCell ref="H24:J24"/>
    <mergeCell ref="H11:J11"/>
    <mergeCell ref="H12:J12"/>
    <mergeCell ref="H13:J13"/>
    <mergeCell ref="D14:E14"/>
    <mergeCell ref="D15:E15"/>
    <mergeCell ref="F14:G14"/>
    <mergeCell ref="D10:E10"/>
    <mergeCell ref="F10:G10"/>
    <mergeCell ref="D11:E11"/>
    <mergeCell ref="F11:G11"/>
    <mergeCell ref="D13:E13"/>
    <mergeCell ref="F13:G13"/>
    <mergeCell ref="H29:J29"/>
    <mergeCell ref="F17:G17"/>
    <mergeCell ref="H26:J26"/>
    <mergeCell ref="D26:E26"/>
    <mergeCell ref="H32:I32"/>
    <mergeCell ref="H28:J28"/>
    <mergeCell ref="H27:J27"/>
    <mergeCell ref="F30:G30"/>
    <mergeCell ref="H25:J25"/>
    <mergeCell ref="F26:G26"/>
    <mergeCell ref="D25:E25"/>
    <mergeCell ref="F25:G25"/>
    <mergeCell ref="F19:G19"/>
    <mergeCell ref="F31:G31"/>
    <mergeCell ref="D22:E22"/>
    <mergeCell ref="D17:E17"/>
    <mergeCell ref="F16:G16"/>
    <mergeCell ref="F33:G33"/>
    <mergeCell ref="F15:G15"/>
    <mergeCell ref="D16:E16"/>
    <mergeCell ref="D27:E27"/>
    <mergeCell ref="F27:G27"/>
    <mergeCell ref="D29:E29"/>
    <mergeCell ref="F29:G29"/>
    <mergeCell ref="D28:E28"/>
    <mergeCell ref="F28:G28"/>
    <mergeCell ref="D18:E18"/>
    <mergeCell ref="F21:G21"/>
    <mergeCell ref="D19:E19"/>
    <mergeCell ref="D21:E21"/>
    <mergeCell ref="D32:E32"/>
    <mergeCell ref="D23:E23"/>
    <mergeCell ref="H33:I33"/>
    <mergeCell ref="H34:I34"/>
    <mergeCell ref="D30:E30"/>
    <mergeCell ref="D33:E33"/>
    <mergeCell ref="F39:G39"/>
    <mergeCell ref="D31:E31"/>
    <mergeCell ref="E7:H7"/>
    <mergeCell ref="C47:D47"/>
    <mergeCell ref="F18:G18"/>
    <mergeCell ref="D20:E20"/>
    <mergeCell ref="F22:G22"/>
    <mergeCell ref="F20:G20"/>
    <mergeCell ref="C46:D46"/>
    <mergeCell ref="E47:F47"/>
    <mergeCell ref="C45:D45"/>
    <mergeCell ref="F35:G35"/>
    <mergeCell ref="H30:J30"/>
    <mergeCell ref="D41:E41"/>
    <mergeCell ref="C44:D44"/>
    <mergeCell ref="E44:F44"/>
    <mergeCell ref="D37:E37"/>
    <mergeCell ref="F37:G37"/>
    <mergeCell ref="F55:G55"/>
    <mergeCell ref="E51:F51"/>
    <mergeCell ref="H31:I31"/>
    <mergeCell ref="E45:F45"/>
    <mergeCell ref="E50:F50"/>
    <mergeCell ref="E46:F46"/>
    <mergeCell ref="C55:E55"/>
    <mergeCell ref="F32:G32"/>
    <mergeCell ref="C50:D50"/>
    <mergeCell ref="D35:E35"/>
    <mergeCell ref="C49:D49"/>
    <mergeCell ref="E49:F49"/>
    <mergeCell ref="F34:G34"/>
    <mergeCell ref="D34:E34"/>
    <mergeCell ref="H37:I37"/>
    <mergeCell ref="H35:I35"/>
    <mergeCell ref="E64:F64"/>
    <mergeCell ref="G64:H64"/>
    <mergeCell ref="C56:E56"/>
    <mergeCell ref="C57:E57"/>
    <mergeCell ref="F59:G59"/>
    <mergeCell ref="E62:H62"/>
    <mergeCell ref="F56:G56"/>
    <mergeCell ref="F57:G57"/>
  </mergeCells>
  <phoneticPr fontId="0" type="noConversion"/>
  <pageMargins left="0.59055118110236227" right="0.27559055118110237" top="0.43307086614173229" bottom="0.39370078740157483" header="0" footer="0"/>
  <pageSetup paperSize="9" scale="74" orientation="portrait" horizontalDpi="4294967293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93"/>
  <sheetViews>
    <sheetView showGridLines="0" topLeftCell="A19" zoomScaleNormal="100" workbookViewId="0">
      <selection activeCell="L21" sqref="L21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2" t="s">
        <v>56</v>
      </c>
      <c r="F7" s="302"/>
      <c r="G7" s="302"/>
      <c r="H7" s="302"/>
      <c r="I7" s="84" t="s">
        <v>59</v>
      </c>
      <c r="J7" s="85">
        <f>CARÁT!$F$16</f>
        <v>2024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55"/>
    </row>
    <row r="11" spans="1:11">
      <c r="A11" s="41"/>
      <c r="B11" s="53">
        <v>37</v>
      </c>
      <c r="C11" s="46">
        <v>45632</v>
      </c>
      <c r="D11" s="334" t="s">
        <v>11</v>
      </c>
      <c r="E11" s="334"/>
      <c r="F11" s="325">
        <v>59970</v>
      </c>
      <c r="G11" s="325"/>
      <c r="H11" s="303" t="s">
        <v>10</v>
      </c>
      <c r="I11" s="303"/>
      <c r="J11" s="303"/>
      <c r="K11" s="55"/>
    </row>
    <row r="12" spans="1:11">
      <c r="A12" s="41"/>
      <c r="B12" s="53"/>
      <c r="C12" s="46"/>
      <c r="D12" s="303"/>
      <c r="E12" s="303"/>
      <c r="F12" s="305"/>
      <c r="G12" s="305"/>
      <c r="H12" s="303"/>
      <c r="I12" s="303"/>
      <c r="J12" s="303"/>
      <c r="K12" s="55"/>
    </row>
    <row r="13" spans="1:11">
      <c r="A13" s="41"/>
      <c r="B13" s="53"/>
      <c r="C13" s="46"/>
      <c r="D13" s="303"/>
      <c r="E13" s="303"/>
      <c r="F13" s="305"/>
      <c r="G13" s="305"/>
      <c r="H13" s="303"/>
      <c r="I13" s="303"/>
      <c r="J13" s="303"/>
      <c r="K13" s="55"/>
    </row>
    <row r="14" spans="1:11">
      <c r="A14" s="41"/>
      <c r="B14" s="53"/>
      <c r="C14" s="46"/>
      <c r="D14" s="363"/>
      <c r="E14" s="363"/>
      <c r="F14" s="305"/>
      <c r="G14" s="305"/>
      <c r="H14" s="47"/>
      <c r="I14" s="47"/>
      <c r="J14" s="47"/>
      <c r="K14" s="55"/>
    </row>
    <row r="15" spans="1:11">
      <c r="A15" s="41"/>
      <c r="B15" s="53"/>
      <c r="C15" s="46"/>
      <c r="D15" s="363"/>
      <c r="E15" s="363"/>
      <c r="F15" s="305"/>
      <c r="G15" s="305"/>
      <c r="H15" s="47"/>
      <c r="I15" s="47"/>
      <c r="J15" s="47"/>
      <c r="K15" s="55"/>
    </row>
    <row r="16" spans="1:11">
      <c r="A16" s="41"/>
      <c r="B16" s="53"/>
      <c r="C16" s="46"/>
      <c r="D16" s="363"/>
      <c r="E16" s="363"/>
      <c r="F16" s="305"/>
      <c r="G16" s="305"/>
      <c r="H16" s="47"/>
      <c r="I16" s="47"/>
      <c r="J16" s="47"/>
      <c r="K16" s="55"/>
    </row>
    <row r="17" spans="1:11">
      <c r="A17" s="41"/>
      <c r="B17" s="53"/>
      <c r="C17" s="46"/>
      <c r="D17" s="363"/>
      <c r="E17" s="363"/>
      <c r="F17" s="305"/>
      <c r="G17" s="305"/>
      <c r="H17" s="47"/>
      <c r="I17" s="47"/>
      <c r="J17" s="47"/>
      <c r="K17" s="55"/>
    </row>
    <row r="18" spans="1:11">
      <c r="A18" s="41"/>
      <c r="B18" s="53"/>
      <c r="C18" s="46"/>
      <c r="D18" s="363"/>
      <c r="E18" s="363"/>
      <c r="F18" s="305"/>
      <c r="G18" s="305"/>
      <c r="H18" s="47"/>
      <c r="I18" s="47"/>
      <c r="J18" s="47"/>
      <c r="K18" s="55"/>
    </row>
    <row r="19" spans="1:11">
      <c r="A19" s="41"/>
      <c r="B19" s="53"/>
      <c r="C19" s="46"/>
      <c r="D19" s="363"/>
      <c r="E19" s="363"/>
      <c r="F19" s="305"/>
      <c r="G19" s="305"/>
      <c r="H19" s="47"/>
      <c r="I19" s="47"/>
      <c r="J19" s="47"/>
      <c r="K19" s="55"/>
    </row>
    <row r="20" spans="1:11">
      <c r="A20" s="41"/>
      <c r="B20" s="53"/>
      <c r="C20" s="46"/>
      <c r="D20" s="363"/>
      <c r="E20" s="363"/>
      <c r="F20" s="305"/>
      <c r="G20" s="305"/>
      <c r="H20" s="47"/>
      <c r="I20" s="47"/>
      <c r="J20" s="47"/>
      <c r="K20" s="55"/>
    </row>
    <row r="21" spans="1:11">
      <c r="A21" s="41"/>
      <c r="B21" s="53"/>
      <c r="C21" s="46"/>
      <c r="D21" s="363"/>
      <c r="E21" s="363"/>
      <c r="F21" s="305"/>
      <c r="G21" s="305"/>
      <c r="H21" s="47"/>
      <c r="I21" s="47"/>
      <c r="J21" s="47"/>
      <c r="K21" s="55"/>
    </row>
    <row r="22" spans="1:11">
      <c r="A22" s="41"/>
      <c r="B22" s="41"/>
      <c r="C22" s="46"/>
      <c r="D22" s="303"/>
      <c r="E22" s="303"/>
      <c r="F22" s="304"/>
      <c r="G22" s="304"/>
      <c r="H22" s="303"/>
      <c r="I22" s="303"/>
      <c r="J22" s="303"/>
      <c r="K22" s="55"/>
    </row>
    <row r="23" spans="1:11">
      <c r="A23" s="41"/>
      <c r="B23" s="41"/>
      <c r="C23" s="46"/>
      <c r="D23" s="303"/>
      <c r="E23" s="303"/>
      <c r="F23" s="304"/>
      <c r="G23" s="304"/>
      <c r="H23" s="303"/>
      <c r="I23" s="303"/>
      <c r="J23" s="303"/>
      <c r="K23" s="55"/>
    </row>
    <row r="24" spans="1:11">
      <c r="A24" s="41"/>
      <c r="B24" s="41"/>
      <c r="C24" s="46"/>
      <c r="D24" s="363"/>
      <c r="E24" s="363"/>
      <c r="F24" s="304"/>
      <c r="G24" s="304"/>
      <c r="H24" s="303"/>
      <c r="I24" s="303"/>
      <c r="J24" s="303"/>
      <c r="K24" s="55"/>
    </row>
    <row r="25" spans="1:11">
      <c r="A25" s="41"/>
      <c r="B25" s="41"/>
      <c r="C25" s="46"/>
      <c r="D25" s="335"/>
      <c r="E25" s="303"/>
      <c r="F25" s="304"/>
      <c r="G25" s="304"/>
      <c r="H25" s="303"/>
      <c r="I25" s="303"/>
      <c r="J25" s="303"/>
      <c r="K25" s="55"/>
    </row>
    <row r="26" spans="1:11">
      <c r="A26" s="41"/>
      <c r="B26" s="41"/>
      <c r="C26" s="46"/>
      <c r="D26" s="303"/>
      <c r="E26" s="303"/>
      <c r="F26" s="304"/>
      <c r="G26" s="304"/>
      <c r="H26" s="303"/>
      <c r="I26" s="303"/>
      <c r="J26" s="303"/>
      <c r="K26" s="55"/>
    </row>
    <row r="27" spans="1:11">
      <c r="A27" s="41"/>
      <c r="B27" s="41"/>
      <c r="C27" s="46"/>
      <c r="D27" s="303"/>
      <c r="E27" s="303"/>
      <c r="F27" s="304"/>
      <c r="G27" s="304"/>
      <c r="H27" s="303"/>
      <c r="I27" s="303"/>
      <c r="J27" s="303"/>
      <c r="K27" s="55"/>
    </row>
    <row r="28" spans="1:11">
      <c r="A28" s="41"/>
      <c r="B28" s="41"/>
      <c r="C28" s="46"/>
      <c r="D28" s="303"/>
      <c r="E28" s="303"/>
      <c r="F28" s="304"/>
      <c r="G28" s="304"/>
      <c r="H28" s="303"/>
      <c r="I28" s="303"/>
      <c r="J28" s="303"/>
      <c r="K28" s="55"/>
    </row>
    <row r="29" spans="1:11">
      <c r="A29" s="41"/>
      <c r="B29" s="41"/>
      <c r="C29" s="46"/>
      <c r="D29" s="303"/>
      <c r="E29" s="303"/>
      <c r="F29" s="304"/>
      <c r="G29" s="304"/>
      <c r="H29" s="303"/>
      <c r="I29" s="303"/>
      <c r="J29" s="303"/>
      <c r="K29" s="55"/>
    </row>
    <row r="30" spans="1:11">
      <c r="A30" s="41"/>
      <c r="B30" s="41"/>
      <c r="C30" s="46"/>
      <c r="D30" s="303"/>
      <c r="E30" s="303"/>
      <c r="F30" s="304"/>
      <c r="G30" s="304"/>
      <c r="H30" s="303"/>
      <c r="I30" s="303"/>
      <c r="J30" s="303"/>
      <c r="K30" s="55"/>
    </row>
    <row r="31" spans="1:11">
      <c r="A31" s="41"/>
      <c r="B31" s="41"/>
      <c r="C31" s="46"/>
      <c r="D31" s="303"/>
      <c r="E31" s="303"/>
      <c r="F31" s="304"/>
      <c r="G31" s="304"/>
      <c r="H31" s="303"/>
      <c r="I31" s="303"/>
      <c r="J31" s="303"/>
      <c r="K31" s="55"/>
    </row>
    <row r="32" spans="1:11">
      <c r="A32" s="41"/>
      <c r="B32" s="41"/>
      <c r="C32" s="46"/>
      <c r="D32" s="303"/>
      <c r="E32" s="303"/>
      <c r="F32" s="304"/>
      <c r="G32" s="304"/>
      <c r="H32" s="303"/>
      <c r="I32" s="303"/>
      <c r="J32" s="303"/>
      <c r="K32" s="55"/>
    </row>
    <row r="33" spans="1:11">
      <c r="A33" s="41"/>
      <c r="B33" s="41"/>
      <c r="C33" s="46"/>
      <c r="D33" s="303"/>
      <c r="E33" s="303"/>
      <c r="F33" s="304"/>
      <c r="G33" s="304"/>
      <c r="H33" s="303"/>
      <c r="I33" s="303"/>
      <c r="J33" s="303"/>
      <c r="K33" s="55"/>
    </row>
    <row r="34" spans="1:11">
      <c r="A34" s="41"/>
      <c r="B34" s="41"/>
      <c r="C34" s="46"/>
      <c r="D34" s="303"/>
      <c r="E34" s="303"/>
      <c r="F34" s="304"/>
      <c r="G34" s="304"/>
      <c r="H34" s="303"/>
      <c r="I34" s="303"/>
      <c r="J34" s="303"/>
      <c r="K34" s="55"/>
    </row>
    <row r="35" spans="1:11">
      <c r="A35" s="41"/>
      <c r="B35" s="41"/>
      <c r="C35" s="46"/>
      <c r="D35" s="303"/>
      <c r="E35" s="303"/>
      <c r="F35" s="304"/>
      <c r="G35" s="304"/>
      <c r="H35" s="303"/>
      <c r="I35" s="303"/>
      <c r="J35" s="303"/>
      <c r="K35" s="55"/>
    </row>
    <row r="36" spans="1:11">
      <c r="A36" s="41"/>
      <c r="B36" s="41"/>
      <c r="C36" s="46"/>
      <c r="D36" s="303"/>
      <c r="E36" s="303"/>
      <c r="F36" s="304"/>
      <c r="G36" s="304"/>
      <c r="H36" s="303"/>
      <c r="I36" s="303"/>
      <c r="J36" s="303"/>
      <c r="K36" s="55"/>
    </row>
    <row r="37" spans="1:11">
      <c r="A37" s="41"/>
      <c r="B37" s="41"/>
      <c r="C37" s="46"/>
      <c r="D37" s="303"/>
      <c r="E37" s="303"/>
      <c r="F37" s="304"/>
      <c r="G37" s="304"/>
      <c r="H37" s="303"/>
      <c r="I37" s="303"/>
      <c r="J37" s="303"/>
      <c r="K37" s="55"/>
    </row>
    <row r="38" spans="1:11">
      <c r="A38" s="41"/>
      <c r="B38" s="41"/>
      <c r="C38" s="46"/>
      <c r="D38" s="303"/>
      <c r="E38" s="303"/>
      <c r="F38" s="318"/>
      <c r="G38" s="318"/>
      <c r="H38" s="303"/>
      <c r="I38" s="303"/>
      <c r="J38" s="303"/>
      <c r="K38" s="55"/>
    </row>
    <row r="39" spans="1:11">
      <c r="A39" s="41"/>
      <c r="B39" s="41"/>
      <c r="C39" s="51"/>
      <c r="D39" s="52"/>
      <c r="E39" s="52"/>
      <c r="F39" s="329">
        <f>SUM(F11:G38)</f>
        <v>59970</v>
      </c>
      <c r="G39" s="330"/>
      <c r="H39" s="53"/>
      <c r="I39" s="53"/>
      <c r="J39" s="53"/>
      <c r="K39" s="55"/>
    </row>
    <row r="40" spans="1:11">
      <c r="A40" s="41"/>
      <c r="B40" s="41"/>
      <c r="C40" s="55"/>
      <c r="D40" s="55"/>
      <c r="E40" s="56"/>
      <c r="F40" s="55"/>
      <c r="G40" s="55"/>
      <c r="H40" s="55"/>
      <c r="I40" s="55"/>
      <c r="J40" s="55"/>
      <c r="K40" s="55"/>
    </row>
    <row r="41" spans="1:11">
      <c r="A41" s="41"/>
      <c r="B41" s="41"/>
      <c r="C41" s="55"/>
      <c r="D41" s="319" t="s">
        <v>14</v>
      </c>
      <c r="E41" s="319"/>
      <c r="F41" s="55"/>
      <c r="G41" s="58">
        <f>F39/1000</f>
        <v>59.97</v>
      </c>
      <c r="H41" s="55"/>
      <c r="I41" s="55"/>
      <c r="J41" s="55"/>
      <c r="K41" s="55"/>
    </row>
    <row r="42" spans="1:11">
      <c r="A42" s="41"/>
      <c r="B42" s="41"/>
      <c r="C42" s="55"/>
      <c r="D42" s="55"/>
      <c r="E42" s="56"/>
      <c r="F42" s="55"/>
      <c r="G42" s="55"/>
      <c r="H42" s="55"/>
      <c r="I42" s="55"/>
      <c r="J42" s="55"/>
      <c r="K42" s="55"/>
    </row>
    <row r="43" spans="1:11">
      <c r="A43" s="41"/>
      <c r="B43" s="41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41"/>
      <c r="B44" s="41"/>
      <c r="C44" s="317" t="s">
        <v>15</v>
      </c>
      <c r="D44" s="317"/>
      <c r="E44" s="317" t="s">
        <v>16</v>
      </c>
      <c r="F44" s="317"/>
      <c r="G44" s="59" t="s">
        <v>17</v>
      </c>
      <c r="H44" s="59" t="s">
        <v>18</v>
      </c>
      <c r="I44" s="55"/>
      <c r="J44" s="55"/>
      <c r="K44" s="55"/>
    </row>
    <row r="45" spans="1:11">
      <c r="A45" s="41"/>
      <c r="B45" s="41"/>
      <c r="C45" s="303" t="s">
        <v>19</v>
      </c>
      <c r="D45" s="303"/>
      <c r="E45" s="364">
        <f>F11</f>
        <v>59970</v>
      </c>
      <c r="F45" s="364"/>
      <c r="G45" s="61">
        <f>+E45/E50</f>
        <v>1</v>
      </c>
      <c r="H45" s="62">
        <v>1</v>
      </c>
      <c r="I45" s="55"/>
      <c r="J45" s="55"/>
      <c r="K45" s="55"/>
    </row>
    <row r="46" spans="1:11">
      <c r="A46" s="41"/>
      <c r="B46" s="41"/>
      <c r="C46" s="303"/>
      <c r="D46" s="303"/>
      <c r="E46" s="364"/>
      <c r="F46" s="364"/>
      <c r="G46" s="61">
        <f>+E46/E50</f>
        <v>0</v>
      </c>
      <c r="H46" s="62"/>
      <c r="I46" s="55"/>
      <c r="J46" s="55"/>
      <c r="K46" s="55"/>
    </row>
    <row r="47" spans="1:11">
      <c r="A47" s="41"/>
      <c r="B47" s="41"/>
      <c r="C47" s="303"/>
      <c r="D47" s="303"/>
      <c r="E47" s="364"/>
      <c r="F47" s="364"/>
      <c r="G47" s="61">
        <f>+E47/E50</f>
        <v>0</v>
      </c>
      <c r="H47" s="62"/>
      <c r="I47" s="55"/>
      <c r="J47" s="55"/>
      <c r="K47" s="55"/>
    </row>
    <row r="48" spans="1:11">
      <c r="A48" s="41"/>
      <c r="B48" s="41"/>
      <c r="C48" s="303"/>
      <c r="D48" s="303"/>
      <c r="E48" s="304"/>
      <c r="F48" s="304"/>
      <c r="G48" s="61">
        <f>+E48/E50</f>
        <v>0</v>
      </c>
      <c r="H48" s="62"/>
      <c r="I48" s="55"/>
      <c r="J48" s="55"/>
      <c r="K48" s="55"/>
    </row>
    <row r="49" spans="1:11">
      <c r="A49" s="41"/>
      <c r="B49" s="41"/>
      <c r="C49" s="303"/>
      <c r="D49" s="303"/>
      <c r="E49" s="318"/>
      <c r="F49" s="318"/>
      <c r="G49" s="61">
        <f>+E49/E50</f>
        <v>0</v>
      </c>
      <c r="H49" s="62"/>
      <c r="I49" s="55"/>
      <c r="J49" s="55"/>
      <c r="K49" s="55"/>
    </row>
    <row r="50" spans="1:11">
      <c r="A50" s="41"/>
      <c r="B50" s="41"/>
      <c r="C50" s="64"/>
      <c r="D50" s="57" t="s">
        <v>21</v>
      </c>
      <c r="E50" s="365">
        <f>SUM(E45:F49)</f>
        <v>59970</v>
      </c>
      <c r="F50" s="365"/>
      <c r="G50" s="65">
        <f>SUM(G45:G49)</f>
        <v>1</v>
      </c>
      <c r="H50" s="66">
        <f>SUM(H45:H49)</f>
        <v>1</v>
      </c>
      <c r="I50" s="55"/>
      <c r="J50" s="55"/>
      <c r="K50" s="55"/>
    </row>
    <row r="51" spans="1:11">
      <c r="A51" s="41"/>
      <c r="B51" s="41"/>
      <c r="C51" s="67"/>
      <c r="D51" s="67"/>
      <c r="E51" s="52"/>
      <c r="F51" s="52"/>
      <c r="G51" s="52"/>
      <c r="H51" s="55"/>
      <c r="I51" s="55"/>
      <c r="J51" s="55"/>
      <c r="K51" s="55"/>
    </row>
    <row r="52" spans="1:11">
      <c r="A52" s="41"/>
      <c r="B52" s="41"/>
      <c r="C52" s="55"/>
      <c r="D52" s="55"/>
      <c r="E52" s="54"/>
      <c r="F52" s="69"/>
      <c r="G52" s="70"/>
      <c r="H52" s="55"/>
      <c r="I52" s="55"/>
      <c r="J52" s="55"/>
      <c r="K52" s="55"/>
    </row>
    <row r="53" spans="1:11">
      <c r="A53" s="41"/>
      <c r="B53" s="41"/>
      <c r="C53" s="68"/>
      <c r="D53" s="55"/>
      <c r="E53" s="54"/>
      <c r="F53" s="69"/>
      <c r="G53" s="70"/>
      <c r="H53" s="55"/>
      <c r="I53" s="55"/>
      <c r="J53" s="55"/>
      <c r="K53" s="55"/>
    </row>
    <row r="54" spans="1:11">
      <c r="A54" s="41"/>
      <c r="B54" s="41"/>
      <c r="C54" s="313" t="s">
        <v>8</v>
      </c>
      <c r="D54" s="314"/>
      <c r="E54" s="315"/>
      <c r="F54" s="316" t="s">
        <v>7</v>
      </c>
      <c r="G54" s="317"/>
      <c r="H54" s="59" t="s">
        <v>17</v>
      </c>
      <c r="I54" s="55"/>
      <c r="J54" s="55"/>
      <c r="K54" s="55"/>
    </row>
    <row r="55" spans="1:11">
      <c r="A55" s="41"/>
      <c r="B55" s="41"/>
      <c r="C55" s="303" t="s">
        <v>22</v>
      </c>
      <c r="D55" s="303"/>
      <c r="E55" s="303"/>
      <c r="F55" s="312"/>
      <c r="G55" s="312"/>
      <c r="H55" s="61">
        <f>+F55/F58</f>
        <v>0</v>
      </c>
      <c r="I55" s="55"/>
      <c r="J55" s="55"/>
      <c r="K55" s="55"/>
    </row>
    <row r="56" spans="1:11">
      <c r="A56" s="41"/>
      <c r="B56" s="41"/>
      <c r="C56" s="303" t="s">
        <v>23</v>
      </c>
      <c r="D56" s="303"/>
      <c r="E56" s="303"/>
      <c r="F56" s="304">
        <f>F39</f>
        <v>59970</v>
      </c>
      <c r="G56" s="304"/>
      <c r="H56" s="61">
        <f>+F56/F58</f>
        <v>1</v>
      </c>
      <c r="I56" s="55"/>
      <c r="J56" s="55"/>
      <c r="K56" s="55"/>
    </row>
    <row r="57" spans="1:11">
      <c r="A57" s="41"/>
      <c r="B57" s="41"/>
      <c r="C57" s="55"/>
      <c r="D57" s="55"/>
      <c r="E57" s="55"/>
      <c r="F57" s="49"/>
      <c r="G57" s="49"/>
      <c r="H57" s="61"/>
      <c r="I57" s="55"/>
      <c r="J57" s="55"/>
      <c r="K57" s="55"/>
    </row>
    <row r="58" spans="1:11">
      <c r="A58" s="41"/>
      <c r="B58" s="41"/>
      <c r="C58" s="55"/>
      <c r="D58" s="55" t="s">
        <v>21</v>
      </c>
      <c r="E58" s="55"/>
      <c r="F58" s="308">
        <f>SUM(F55:G57)</f>
        <v>59970</v>
      </c>
      <c r="G58" s="308"/>
      <c r="H58" s="65">
        <f>SUM(H55:H57)</f>
        <v>1</v>
      </c>
      <c r="I58" s="55"/>
      <c r="J58" s="55"/>
      <c r="K58" s="55"/>
    </row>
    <row r="59" spans="1:11">
      <c r="A59" s="41"/>
      <c r="B59" s="41"/>
      <c r="C59" s="55"/>
      <c r="D59" s="55"/>
      <c r="E59" s="55"/>
      <c r="F59" s="88"/>
      <c r="G59" s="88"/>
      <c r="H59" s="89"/>
      <c r="I59" s="55"/>
      <c r="J59" s="55"/>
      <c r="K59" s="55"/>
    </row>
    <row r="60" spans="1:11">
      <c r="A60" s="41"/>
      <c r="B60" s="41"/>
      <c r="C60" s="55"/>
      <c r="D60" s="55"/>
      <c r="E60" s="55"/>
      <c r="F60" s="88"/>
      <c r="G60" s="88"/>
      <c r="H60" s="89"/>
      <c r="I60" s="55"/>
      <c r="J60" s="55"/>
      <c r="K60" s="55"/>
    </row>
    <row r="61" spans="1:11">
      <c r="A61" s="41"/>
      <c r="B61" s="41"/>
      <c r="C61" s="55"/>
      <c r="D61" s="55"/>
      <c r="E61" s="55"/>
      <c r="F61" s="55"/>
      <c r="G61" s="55"/>
      <c r="H61" s="126"/>
      <c r="I61" s="55"/>
      <c r="J61" s="55"/>
      <c r="K61" s="55"/>
    </row>
    <row r="62" spans="1:11">
      <c r="A62" s="41"/>
      <c r="B62" s="41"/>
      <c r="C62" s="55"/>
      <c r="D62" s="54"/>
      <c r="E62" s="107"/>
      <c r="F62" s="55"/>
      <c r="G62" s="55"/>
      <c r="H62" s="55"/>
      <c r="I62" s="55"/>
      <c r="J62" s="55"/>
      <c r="K62" s="55"/>
    </row>
    <row r="63" spans="1:11">
      <c r="A63" s="41"/>
      <c r="B63" s="41"/>
      <c r="C63" s="55"/>
      <c r="D63" s="55"/>
      <c r="E63" s="309" t="s">
        <v>24</v>
      </c>
      <c r="F63" s="309"/>
      <c r="G63" s="309"/>
      <c r="H63" s="309"/>
      <c r="I63" s="55"/>
      <c r="J63" s="55"/>
      <c r="K63" s="55"/>
    </row>
    <row r="64" spans="1:11">
      <c r="A64" s="41"/>
      <c r="B64" s="41"/>
      <c r="C64" s="55"/>
      <c r="D64" s="108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109" t="s">
        <v>25</v>
      </c>
      <c r="E65" s="336" t="s">
        <v>26</v>
      </c>
      <c r="F65" s="337"/>
      <c r="G65" s="336" t="s">
        <v>27</v>
      </c>
      <c r="H65" s="337"/>
      <c r="I65" s="55"/>
      <c r="J65" s="55"/>
      <c r="K65" s="55"/>
    </row>
    <row r="66" spans="1:11">
      <c r="A66" s="55"/>
      <c r="B66" s="55"/>
      <c r="C66" s="55"/>
      <c r="D66" s="110" t="s">
        <v>28</v>
      </c>
      <c r="E66" s="118" t="s">
        <v>29</v>
      </c>
      <c r="F66" s="118" t="s">
        <v>30</v>
      </c>
      <c r="G66" s="119" t="s">
        <v>29</v>
      </c>
      <c r="H66" s="119" t="s">
        <v>30</v>
      </c>
      <c r="I66" s="55"/>
      <c r="J66" s="55"/>
      <c r="K66" s="55"/>
    </row>
    <row r="67" spans="1:11">
      <c r="A67" s="55"/>
      <c r="B67" s="55"/>
      <c r="C67" s="55"/>
      <c r="D67" s="90" t="s">
        <v>31</v>
      </c>
      <c r="E67" s="91">
        <f>Comparativos!$BA$13</f>
        <v>123.39</v>
      </c>
      <c r="F67" s="92">
        <f>Comparativos!$BB$13</f>
        <v>4</v>
      </c>
      <c r="G67" s="127">
        <f>ENE!$G$46</f>
        <v>417.87</v>
      </c>
      <c r="H67" s="92">
        <f>ENE!$H$55</f>
        <v>8</v>
      </c>
      <c r="I67" s="55"/>
      <c r="J67" s="55"/>
      <c r="K67" s="55"/>
    </row>
    <row r="68" spans="1:11">
      <c r="A68" s="55"/>
      <c r="B68" s="55"/>
      <c r="C68" s="55"/>
      <c r="D68" s="90" t="s">
        <v>33</v>
      </c>
      <c r="E68" s="121">
        <f>Comparativos!$BA$14</f>
        <v>176.79</v>
      </c>
      <c r="F68" s="134">
        <f>Comparativos!$BB$14</f>
        <v>6</v>
      </c>
      <c r="G68" s="100">
        <f>FEB!$G$48</f>
        <v>127.8</v>
      </c>
      <c r="H68" s="101">
        <f>FEB!$H$57</f>
        <v>2</v>
      </c>
      <c r="I68" s="55"/>
      <c r="J68" s="55"/>
      <c r="K68" s="55"/>
    </row>
    <row r="69" spans="1:11">
      <c r="A69" s="55"/>
      <c r="B69" s="55"/>
      <c r="C69" s="55"/>
      <c r="D69" s="90" t="s">
        <v>35</v>
      </c>
      <c r="E69" s="121">
        <f>Comparativos!$BA$15</f>
        <v>370.56</v>
      </c>
      <c r="F69" s="134">
        <f>Comparativos!$BB$15</f>
        <v>11</v>
      </c>
      <c r="G69" s="100">
        <f>MAR!$G$43</f>
        <v>78.06</v>
      </c>
      <c r="H69" s="101">
        <f>MAR!$H$51</f>
        <v>2</v>
      </c>
      <c r="I69" s="55"/>
      <c r="J69" s="55"/>
      <c r="K69" s="55"/>
    </row>
    <row r="70" spans="1:11">
      <c r="A70" s="55"/>
      <c r="B70" s="55"/>
      <c r="C70" s="55"/>
      <c r="D70" s="90" t="s">
        <v>37</v>
      </c>
      <c r="E70" s="121">
        <f>Comparativos!$BA$16</f>
        <v>201.99</v>
      </c>
      <c r="F70" s="134">
        <f>Comparativos!$BB$16</f>
        <v>8</v>
      </c>
      <c r="G70" s="100">
        <f>ABR!$G$41</f>
        <v>0</v>
      </c>
      <c r="H70" s="101">
        <f>ABR!$H$50</f>
        <v>0</v>
      </c>
      <c r="I70" s="55"/>
      <c r="J70" s="55"/>
      <c r="K70" s="55"/>
    </row>
    <row r="71" spans="1:11">
      <c r="A71" s="55"/>
      <c r="B71" s="55"/>
      <c r="C71" s="55"/>
      <c r="D71" s="90" t="s">
        <v>39</v>
      </c>
      <c r="E71" s="121">
        <f>Comparativos!$BA$17</f>
        <v>60.9</v>
      </c>
      <c r="F71" s="134">
        <f>Comparativos!$BB$17</f>
        <v>2</v>
      </c>
      <c r="G71" s="54">
        <f>MAY!$G$44</f>
        <v>0</v>
      </c>
      <c r="H71" s="113">
        <f>MAY!$H$52</f>
        <v>0</v>
      </c>
      <c r="I71" s="55"/>
      <c r="J71" s="55"/>
      <c r="K71" s="55"/>
    </row>
    <row r="72" spans="1:11">
      <c r="A72" s="55"/>
      <c r="B72" s="55"/>
      <c r="C72" s="55"/>
      <c r="D72" s="90" t="s">
        <v>41</v>
      </c>
      <c r="E72" s="121">
        <f>Comparativos!$BA$18</f>
        <v>0</v>
      </c>
      <c r="F72" s="134">
        <f>Comparativos!$BB$18</f>
        <v>0</v>
      </c>
      <c r="G72" s="54">
        <f>JUN!$G$33</f>
        <v>32.46</v>
      </c>
      <c r="H72" s="113">
        <f>JUN!$H$42</f>
        <v>1</v>
      </c>
      <c r="I72" s="55"/>
      <c r="J72" s="55"/>
      <c r="K72" s="55"/>
    </row>
    <row r="73" spans="1:11">
      <c r="A73" s="55"/>
      <c r="B73" s="55"/>
      <c r="C73" s="55"/>
      <c r="D73" s="90" t="s">
        <v>47</v>
      </c>
      <c r="E73" s="121">
        <f>Comparativos!$BA$20</f>
        <v>0</v>
      </c>
      <c r="F73" s="134">
        <f>Comparativos!$BB$20</f>
        <v>0</v>
      </c>
      <c r="G73" s="54">
        <f>JUL!$G$33</f>
        <v>79.47</v>
      </c>
      <c r="H73" s="113">
        <f>JUL!$H$42</f>
        <v>1</v>
      </c>
      <c r="I73" s="55"/>
      <c r="J73" s="55"/>
      <c r="K73" s="55"/>
    </row>
    <row r="74" spans="1:11">
      <c r="A74" s="55"/>
      <c r="B74" s="55"/>
      <c r="C74" s="55"/>
      <c r="D74" s="90" t="s">
        <v>49</v>
      </c>
      <c r="E74" s="121">
        <f>Comparativos!$BA$21</f>
        <v>132.38999999999999</v>
      </c>
      <c r="F74" s="134">
        <f>Comparativos!$BB$21</f>
        <v>4</v>
      </c>
      <c r="G74" s="54">
        <f>AGO!$G$36</f>
        <v>41.4</v>
      </c>
      <c r="H74" s="113">
        <f>AGO!$H$47</f>
        <v>2</v>
      </c>
      <c r="I74" s="55"/>
      <c r="J74" s="55"/>
      <c r="K74" s="55"/>
    </row>
    <row r="75" spans="1:11">
      <c r="A75" s="55"/>
      <c r="B75" s="55"/>
      <c r="C75" s="55"/>
      <c r="D75" s="90" t="s">
        <v>51</v>
      </c>
      <c r="E75" s="121">
        <f>Comparativos!$BA$22</f>
        <v>142.59</v>
      </c>
      <c r="F75" s="134">
        <f>Comparativos!$BB$22</f>
        <v>3</v>
      </c>
      <c r="G75" s="54">
        <f>SEP!$G$43</f>
        <v>146.72999999999999</v>
      </c>
      <c r="H75" s="113">
        <f>SEP!$H$53</f>
        <v>4</v>
      </c>
      <c r="I75" s="55"/>
      <c r="J75" s="55"/>
      <c r="K75" s="55"/>
    </row>
    <row r="76" spans="1:11">
      <c r="A76" s="55"/>
      <c r="B76" s="55"/>
      <c r="C76" s="55"/>
      <c r="D76" s="90" t="s">
        <v>55</v>
      </c>
      <c r="E76" s="121">
        <f>Comparativos!$BA$23</f>
        <v>218.52</v>
      </c>
      <c r="F76" s="134">
        <f>Comparativos!$BB$23</f>
        <v>4</v>
      </c>
      <c r="G76" s="54">
        <f>OCT!$G$39</f>
        <v>53.67</v>
      </c>
      <c r="H76" s="113">
        <f>OCT!$H$49</f>
        <v>1</v>
      </c>
      <c r="I76" s="55"/>
      <c r="J76" s="55"/>
      <c r="K76" s="55"/>
    </row>
    <row r="77" spans="1:11">
      <c r="A77" s="55"/>
      <c r="B77" s="55"/>
      <c r="C77" s="55"/>
      <c r="D77" s="90" t="s">
        <v>58</v>
      </c>
      <c r="E77" s="121">
        <f>Comparativos!$BA$24</f>
        <v>775.32</v>
      </c>
      <c r="F77" s="134">
        <f>Comparativos!$BB$24</f>
        <v>13</v>
      </c>
      <c r="G77" s="54">
        <f>NOV!$G$41</f>
        <v>173.49</v>
      </c>
      <c r="H77" s="113">
        <f>NOV!$H$51</f>
        <v>3</v>
      </c>
      <c r="I77" s="55"/>
      <c r="J77" s="55"/>
      <c r="K77" s="55"/>
    </row>
    <row r="78" spans="1:11">
      <c r="A78" s="55"/>
      <c r="B78" s="55"/>
      <c r="C78" s="55"/>
      <c r="D78" s="94" t="s">
        <v>60</v>
      </c>
      <c r="E78" s="114">
        <f>Comparativos!$BA$25</f>
        <v>535.08000000000004</v>
      </c>
      <c r="F78" s="117">
        <f>Comparativos!$BB$25</f>
        <v>11</v>
      </c>
      <c r="G78" s="116">
        <f>DIC!G41</f>
        <v>59.97</v>
      </c>
      <c r="H78" s="117">
        <f>H50</f>
        <v>1</v>
      </c>
      <c r="I78" s="55"/>
      <c r="J78" s="55"/>
      <c r="K78" s="55"/>
    </row>
    <row r="79" spans="1:11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</row>
    <row r="80" spans="1:11">
      <c r="A80" s="55"/>
      <c r="B80" s="55"/>
      <c r="C80" s="55"/>
      <c r="D80" s="55"/>
      <c r="E80" s="79">
        <f>SUM(E67:E79)</f>
        <v>2737.5299999999997</v>
      </c>
      <c r="F80" s="80">
        <f>SUM(F67:F79)</f>
        <v>66</v>
      </c>
      <c r="G80" s="79">
        <f>SUM(G67:G78)</f>
        <v>1210.92</v>
      </c>
      <c r="H80" s="80">
        <f>SUM(H67:H78)</f>
        <v>25</v>
      </c>
      <c r="I80" s="55"/>
      <c r="J80" s="55"/>
      <c r="K80" s="55"/>
    </row>
    <row r="81" spans="1:10">
      <c r="A81" s="55"/>
      <c r="B81" s="55"/>
      <c r="C81" s="55"/>
      <c r="D81" s="55"/>
      <c r="E81" s="55"/>
      <c r="F81" s="55"/>
      <c r="G81" s="55"/>
      <c r="H81" s="55"/>
      <c r="I81" s="55"/>
      <c r="J81" s="55"/>
    </row>
    <row r="82" spans="1:10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0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0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0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0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0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0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0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0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0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0">
      <c r="A93" s="55"/>
      <c r="B93" s="55"/>
      <c r="C93" s="55"/>
      <c r="D93" s="55"/>
      <c r="E93" s="55"/>
      <c r="F93" s="55"/>
      <c r="G93" s="55"/>
      <c r="H93" s="55"/>
      <c r="I93" s="55"/>
      <c r="J93" s="55"/>
    </row>
  </sheetData>
  <mergeCells count="105">
    <mergeCell ref="H36:J36"/>
    <mergeCell ref="H37:J37"/>
    <mergeCell ref="H38:J38"/>
    <mergeCell ref="F34:G34"/>
    <mergeCell ref="C48:D48"/>
    <mergeCell ref="E48:F48"/>
    <mergeCell ref="F39:G39"/>
    <mergeCell ref="D41:E41"/>
    <mergeCell ref="E44:F44"/>
    <mergeCell ref="C44:D44"/>
    <mergeCell ref="C47:D47"/>
    <mergeCell ref="E46:F46"/>
    <mergeCell ref="D35:E35"/>
    <mergeCell ref="D37:E37"/>
    <mergeCell ref="F37:G37"/>
    <mergeCell ref="D36:E36"/>
    <mergeCell ref="C45:D45"/>
    <mergeCell ref="F35:G35"/>
    <mergeCell ref="F36:G36"/>
    <mergeCell ref="E45:F45"/>
    <mergeCell ref="D24:E24"/>
    <mergeCell ref="E49:F49"/>
    <mergeCell ref="C49:D49"/>
    <mergeCell ref="D38:E38"/>
    <mergeCell ref="F38:G38"/>
    <mergeCell ref="H25:J25"/>
    <mergeCell ref="H26:J26"/>
    <mergeCell ref="H27:J27"/>
    <mergeCell ref="D30:E30"/>
    <mergeCell ref="D31:E31"/>
    <mergeCell ref="D26:E26"/>
    <mergeCell ref="D27:E27"/>
    <mergeCell ref="H28:J28"/>
    <mergeCell ref="H29:J29"/>
    <mergeCell ref="H30:J30"/>
    <mergeCell ref="H33:J33"/>
    <mergeCell ref="H34:J34"/>
    <mergeCell ref="H35:J35"/>
    <mergeCell ref="H31:J31"/>
    <mergeCell ref="F28:G28"/>
    <mergeCell ref="F29:G29"/>
    <mergeCell ref="F30:G30"/>
    <mergeCell ref="F31:G31"/>
    <mergeCell ref="D34:E34"/>
    <mergeCell ref="E65:F65"/>
    <mergeCell ref="G65:H65"/>
    <mergeCell ref="F24:G24"/>
    <mergeCell ref="F25:G25"/>
    <mergeCell ref="E47:F47"/>
    <mergeCell ref="C56:E56"/>
    <mergeCell ref="F27:G27"/>
    <mergeCell ref="F26:G26"/>
    <mergeCell ref="D28:E28"/>
    <mergeCell ref="D29:E29"/>
    <mergeCell ref="F58:G58"/>
    <mergeCell ref="E63:H63"/>
    <mergeCell ref="E50:F50"/>
    <mergeCell ref="C54:E54"/>
    <mergeCell ref="F54:G54"/>
    <mergeCell ref="C55:E55"/>
    <mergeCell ref="F55:G55"/>
    <mergeCell ref="F56:G56"/>
    <mergeCell ref="H32:J32"/>
    <mergeCell ref="C46:D46"/>
    <mergeCell ref="D32:E32"/>
    <mergeCell ref="F32:G32"/>
    <mergeCell ref="F33:G33"/>
    <mergeCell ref="D33:E33"/>
    <mergeCell ref="D25:E25"/>
    <mergeCell ref="D20:E20"/>
    <mergeCell ref="F20:G20"/>
    <mergeCell ref="H24:J24"/>
    <mergeCell ref="D14:E14"/>
    <mergeCell ref="F14:G14"/>
    <mergeCell ref="F19:G19"/>
    <mergeCell ref="D21:E21"/>
    <mergeCell ref="F21:G21"/>
    <mergeCell ref="F22:G22"/>
    <mergeCell ref="F23:G23"/>
    <mergeCell ref="H22:J22"/>
    <mergeCell ref="H23:J23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D22:E22"/>
    <mergeCell ref="D23:E23"/>
    <mergeCell ref="E7:H7"/>
    <mergeCell ref="D12:E12"/>
    <mergeCell ref="D13:E13"/>
    <mergeCell ref="F13:G13"/>
    <mergeCell ref="D11:E11"/>
    <mergeCell ref="F11:G11"/>
    <mergeCell ref="F12:G12"/>
    <mergeCell ref="D10:E10"/>
    <mergeCell ref="F10:G10"/>
    <mergeCell ref="H10:J10"/>
    <mergeCell ref="H11:J11"/>
    <mergeCell ref="H12:J12"/>
    <mergeCell ref="H13:J13"/>
  </mergeCells>
  <phoneticPr fontId="0" type="noConversion"/>
  <pageMargins left="0.59055118110236227" right="0.75" top="1" bottom="1" header="0" footer="0"/>
  <pageSetup paperSize="9" scale="63" orientation="portrait" horizontalDpi="4294967293" verticalDpi="300" r:id="rId1"/>
  <headerFooter alignWithMargins="0"/>
  <ignoredErrors>
    <ignoredError sqref="G46" evalError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-0.499984740745262"/>
    <pageSetUpPr fitToPage="1"/>
  </sheetPr>
  <dimension ref="A1:BH75"/>
  <sheetViews>
    <sheetView showGridLines="0" topLeftCell="X1" zoomScaleNormal="100" zoomScaleSheetLayoutView="100" workbookViewId="0">
      <selection activeCell="BE18" sqref="BE18"/>
    </sheetView>
  </sheetViews>
  <sheetFormatPr defaultColWidth="9.140625" defaultRowHeight="12.75"/>
  <cols>
    <col min="1" max="1" width="3.140625" style="44" customWidth="1"/>
    <col min="2" max="2" width="13.85546875" style="44" customWidth="1"/>
    <col min="3" max="10" width="8.7109375" style="44" customWidth="1"/>
    <col min="11" max="11" width="10" style="44" customWidth="1"/>
    <col min="12" max="17" width="8.7109375" style="44" customWidth="1"/>
    <col min="18" max="18" width="6.7109375" style="44" customWidth="1"/>
    <col min="19" max="19" width="8.7109375" style="44" customWidth="1"/>
    <col min="20" max="20" width="6.7109375" style="44" customWidth="1"/>
    <col min="21" max="21" width="8.7109375" style="44" customWidth="1"/>
    <col min="22" max="22" width="6.7109375" style="44" customWidth="1"/>
    <col min="23" max="23" width="8.7109375" style="44" customWidth="1"/>
    <col min="24" max="24" width="6.7109375" style="44" customWidth="1"/>
    <col min="25" max="25" width="8.7109375" style="44" customWidth="1"/>
    <col min="26" max="26" width="6.7109375" style="44" customWidth="1"/>
    <col min="27" max="27" width="8.7109375" style="44" customWidth="1"/>
    <col min="28" max="28" width="6.7109375" style="44" customWidth="1"/>
    <col min="29" max="29" width="8.7109375" style="44" customWidth="1"/>
    <col min="30" max="30" width="6.7109375" style="44" customWidth="1"/>
    <col min="31" max="31" width="8.7109375" style="44" customWidth="1"/>
    <col min="32" max="32" width="6.7109375" style="44" customWidth="1"/>
    <col min="33" max="33" width="8.7109375" style="44" customWidth="1"/>
    <col min="34" max="34" width="6.7109375" style="44" customWidth="1"/>
    <col min="35" max="35" width="8.7109375" style="44" customWidth="1"/>
    <col min="36" max="36" width="6.7109375" style="44" customWidth="1"/>
    <col min="37" max="37" width="8.7109375" style="44" customWidth="1"/>
    <col min="38" max="38" width="6.7109375" style="44" customWidth="1"/>
    <col min="39" max="39" width="8.7109375" style="44" customWidth="1"/>
    <col min="40" max="40" width="6.7109375" style="44" customWidth="1"/>
    <col min="41" max="41" width="8.7109375" style="44" customWidth="1"/>
    <col min="42" max="42" width="6.7109375" style="44" customWidth="1"/>
    <col min="43" max="43" width="8.7109375" style="44" customWidth="1"/>
    <col min="44" max="44" width="6.7109375" style="44" customWidth="1"/>
    <col min="45" max="45" width="8.7109375" style="44" customWidth="1"/>
    <col min="46" max="46" width="6.7109375" style="44" customWidth="1"/>
    <col min="47" max="47" width="8.7109375" style="44" customWidth="1"/>
    <col min="48" max="48" width="6.7109375" style="44" customWidth="1"/>
    <col min="49" max="49" width="8.7109375" style="44" customWidth="1"/>
    <col min="50" max="50" width="6.7109375" style="44" customWidth="1"/>
    <col min="51" max="51" width="8.7109375" style="44" customWidth="1"/>
    <col min="52" max="52" width="6.7109375" style="44" customWidth="1"/>
    <col min="53" max="53" width="8.7109375" style="44" customWidth="1"/>
    <col min="54" max="54" width="6.7109375" style="44" customWidth="1"/>
    <col min="55" max="55" width="8.7109375" style="44" customWidth="1"/>
    <col min="56" max="56" width="6.7109375" style="44" customWidth="1"/>
    <col min="57" max="57" width="10.85546875" style="44" customWidth="1"/>
    <col min="58" max="262" width="11.42578125" style="44" customWidth="1"/>
    <col min="263" max="16384" width="9.140625" style="44"/>
  </cols>
  <sheetData>
    <row r="1" spans="1:60">
      <c r="A1" s="43"/>
      <c r="B1" s="81"/>
      <c r="C1" s="81"/>
      <c r="D1" s="81"/>
      <c r="E1" s="81"/>
      <c r="F1" s="81"/>
      <c r="G1" s="81"/>
      <c r="H1" s="81"/>
      <c r="I1" s="81"/>
      <c r="J1" s="43"/>
      <c r="K1" s="43"/>
      <c r="L1" s="43"/>
      <c r="M1" s="43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G1" s="135"/>
      <c r="BH1" s="135"/>
    </row>
    <row r="2" spans="1:60">
      <c r="A2" s="8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135"/>
      <c r="BF2" s="135"/>
      <c r="BG2" s="135"/>
      <c r="BH2" s="135"/>
    </row>
    <row r="3" spans="1:60">
      <c r="A3" s="8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135"/>
      <c r="BF3" s="135"/>
      <c r="BG3" s="135"/>
      <c r="BH3" s="135"/>
    </row>
    <row r="4" spans="1:60">
      <c r="A4" s="8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135"/>
      <c r="BF4" s="135"/>
      <c r="BG4" s="135"/>
      <c r="BH4" s="135"/>
    </row>
    <row r="5" spans="1:60">
      <c r="A5" s="8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135"/>
      <c r="BF5" s="135"/>
      <c r="BG5" s="135"/>
      <c r="BH5" s="135"/>
    </row>
    <row r="6" spans="1:60">
      <c r="A6" s="8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135"/>
      <c r="BF6" s="135"/>
      <c r="BG6" s="135"/>
      <c r="BH6" s="135"/>
    </row>
    <row r="7" spans="1:60">
      <c r="A7" s="8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135"/>
      <c r="BF7" s="135"/>
      <c r="BG7" s="135"/>
      <c r="BH7" s="135"/>
    </row>
    <row r="8" spans="1:60">
      <c r="A8" s="82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135"/>
      <c r="BF8" s="135"/>
      <c r="BG8" s="135"/>
      <c r="BH8" s="135"/>
    </row>
    <row r="9" spans="1:60">
      <c r="A9" s="82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135"/>
      <c r="BF9" s="135"/>
      <c r="BG9" s="135"/>
      <c r="BH9" s="135"/>
    </row>
    <row r="10" spans="1:60">
      <c r="A10" s="8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135"/>
      <c r="BF10" s="135"/>
      <c r="BG10" s="135"/>
      <c r="BH10" s="135"/>
    </row>
    <row r="11" spans="1:60" s="224" customFormat="1" ht="15" customHeight="1">
      <c r="A11" s="221"/>
      <c r="B11" s="222" t="s">
        <v>25</v>
      </c>
      <c r="C11" s="351">
        <v>1998</v>
      </c>
      <c r="D11" s="351"/>
      <c r="E11" s="351">
        <v>1999</v>
      </c>
      <c r="F11" s="351"/>
      <c r="G11" s="351">
        <v>2000</v>
      </c>
      <c r="H11" s="351"/>
      <c r="I11" s="351">
        <v>2001</v>
      </c>
      <c r="J11" s="351"/>
      <c r="K11" s="351">
        <v>2002</v>
      </c>
      <c r="L11" s="351"/>
      <c r="M11" s="351">
        <v>2003</v>
      </c>
      <c r="N11" s="351"/>
      <c r="O11" s="352">
        <v>2004</v>
      </c>
      <c r="P11" s="352"/>
      <c r="Q11" s="351">
        <v>2005</v>
      </c>
      <c r="R11" s="351"/>
      <c r="S11" s="352">
        <v>2006</v>
      </c>
      <c r="T11" s="352"/>
      <c r="U11" s="352">
        <v>2007</v>
      </c>
      <c r="V11" s="352"/>
      <c r="W11" s="352">
        <v>2008</v>
      </c>
      <c r="X11" s="352"/>
      <c r="Y11" s="352">
        <v>2009</v>
      </c>
      <c r="Z11" s="352"/>
      <c r="AA11" s="352">
        <v>2010</v>
      </c>
      <c r="AB11" s="352"/>
      <c r="AC11" s="352">
        <v>2011</v>
      </c>
      <c r="AD11" s="352"/>
      <c r="AE11" s="352">
        <v>2012</v>
      </c>
      <c r="AF11" s="352"/>
      <c r="AG11" s="352">
        <v>2013</v>
      </c>
      <c r="AH11" s="352"/>
      <c r="AI11" s="352">
        <v>2014</v>
      </c>
      <c r="AJ11" s="352"/>
      <c r="AK11" s="352">
        <v>2015</v>
      </c>
      <c r="AL11" s="352"/>
      <c r="AM11" s="352">
        <v>2016</v>
      </c>
      <c r="AN11" s="352"/>
      <c r="AO11" s="352">
        <v>2017</v>
      </c>
      <c r="AP11" s="352"/>
      <c r="AQ11" s="352">
        <v>2018</v>
      </c>
      <c r="AR11" s="352"/>
      <c r="AS11" s="352">
        <v>2019</v>
      </c>
      <c r="AT11" s="352"/>
      <c r="AU11" s="352">
        <v>2020</v>
      </c>
      <c r="AV11" s="352"/>
      <c r="AW11" s="352">
        <v>2021</v>
      </c>
      <c r="AX11" s="352"/>
      <c r="AY11" s="352">
        <v>2022</v>
      </c>
      <c r="AZ11" s="354"/>
      <c r="BA11" s="352">
        <v>2023</v>
      </c>
      <c r="BB11" s="354"/>
      <c r="BC11" s="352">
        <v>2024</v>
      </c>
      <c r="BD11" s="357"/>
      <c r="BE11" s="355" t="s">
        <v>61</v>
      </c>
      <c r="BF11" s="223"/>
      <c r="BG11" s="223"/>
      <c r="BH11" s="223"/>
    </row>
    <row r="12" spans="1:60" s="229" customFormat="1" ht="20.100000000000001" customHeight="1">
      <c r="A12" s="225"/>
      <c r="B12" s="222" t="s">
        <v>28</v>
      </c>
      <c r="C12" s="226" t="s">
        <v>29</v>
      </c>
      <c r="D12" s="226" t="s">
        <v>30</v>
      </c>
      <c r="E12" s="226" t="s">
        <v>29</v>
      </c>
      <c r="F12" s="226" t="s">
        <v>30</v>
      </c>
      <c r="G12" s="226" t="s">
        <v>29</v>
      </c>
      <c r="H12" s="226" t="s">
        <v>30</v>
      </c>
      <c r="I12" s="226" t="s">
        <v>29</v>
      </c>
      <c r="J12" s="226" t="s">
        <v>30</v>
      </c>
      <c r="K12" s="226" t="s">
        <v>29</v>
      </c>
      <c r="L12" s="226" t="s">
        <v>30</v>
      </c>
      <c r="M12" s="226" t="s">
        <v>29</v>
      </c>
      <c r="N12" s="226" t="s">
        <v>30</v>
      </c>
      <c r="O12" s="226" t="s">
        <v>29</v>
      </c>
      <c r="P12" s="226" t="s">
        <v>30</v>
      </c>
      <c r="Q12" s="226" t="s">
        <v>29</v>
      </c>
      <c r="R12" s="227" t="s">
        <v>30</v>
      </c>
      <c r="S12" s="226" t="s">
        <v>29</v>
      </c>
      <c r="T12" s="227" t="s">
        <v>30</v>
      </c>
      <c r="U12" s="226" t="s">
        <v>29</v>
      </c>
      <c r="V12" s="227" t="s">
        <v>30</v>
      </c>
      <c r="W12" s="227" t="s">
        <v>29</v>
      </c>
      <c r="X12" s="227" t="s">
        <v>30</v>
      </c>
      <c r="Y12" s="227" t="s">
        <v>29</v>
      </c>
      <c r="Z12" s="226" t="s">
        <v>30</v>
      </c>
      <c r="AA12" s="227" t="s">
        <v>29</v>
      </c>
      <c r="AB12" s="226" t="s">
        <v>30</v>
      </c>
      <c r="AC12" s="227" t="s">
        <v>29</v>
      </c>
      <c r="AD12" s="226" t="s">
        <v>30</v>
      </c>
      <c r="AE12" s="227" t="s">
        <v>29</v>
      </c>
      <c r="AF12" s="226" t="s">
        <v>30</v>
      </c>
      <c r="AG12" s="227" t="s">
        <v>29</v>
      </c>
      <c r="AH12" s="226" t="s">
        <v>30</v>
      </c>
      <c r="AI12" s="227" t="s">
        <v>29</v>
      </c>
      <c r="AJ12" s="226" t="s">
        <v>30</v>
      </c>
      <c r="AK12" s="227" t="s">
        <v>29</v>
      </c>
      <c r="AL12" s="226" t="s">
        <v>30</v>
      </c>
      <c r="AM12" s="227" t="s">
        <v>29</v>
      </c>
      <c r="AN12" s="226" t="s">
        <v>30</v>
      </c>
      <c r="AO12" s="227" t="s">
        <v>29</v>
      </c>
      <c r="AP12" s="226" t="s">
        <v>30</v>
      </c>
      <c r="AQ12" s="227" t="s">
        <v>29</v>
      </c>
      <c r="AR12" s="226" t="s">
        <v>30</v>
      </c>
      <c r="AS12" s="227" t="s">
        <v>29</v>
      </c>
      <c r="AT12" s="226" t="s">
        <v>30</v>
      </c>
      <c r="AU12" s="227" t="s">
        <v>29</v>
      </c>
      <c r="AV12" s="226" t="s">
        <v>30</v>
      </c>
      <c r="AW12" s="227" t="s">
        <v>29</v>
      </c>
      <c r="AX12" s="226" t="s">
        <v>30</v>
      </c>
      <c r="AY12" s="227" t="s">
        <v>29</v>
      </c>
      <c r="AZ12" s="226" t="s">
        <v>30</v>
      </c>
      <c r="BA12" s="227" t="s">
        <v>29</v>
      </c>
      <c r="BB12" s="226" t="s">
        <v>30</v>
      </c>
      <c r="BC12" s="227" t="s">
        <v>29</v>
      </c>
      <c r="BD12" s="227" t="s">
        <v>30</v>
      </c>
      <c r="BE12" s="356"/>
      <c r="BF12" s="228"/>
      <c r="BG12" s="228"/>
      <c r="BH12" s="228"/>
    </row>
    <row r="13" spans="1:60" s="137" customFormat="1" ht="15" customHeight="1">
      <c r="A13" s="180"/>
      <c r="B13" s="206" t="s">
        <v>31</v>
      </c>
      <c r="C13" s="181">
        <f>352937.53/1000</f>
        <v>352.93753000000004</v>
      </c>
      <c r="D13" s="182">
        <v>31</v>
      </c>
      <c r="E13" s="181">
        <f>515977/1000</f>
        <v>515.97699999999998</v>
      </c>
      <c r="F13" s="182">
        <v>31</v>
      </c>
      <c r="G13" s="181">
        <f>390888/1000</f>
        <v>390.88799999999998</v>
      </c>
      <c r="H13" s="182">
        <v>21</v>
      </c>
      <c r="I13" s="181">
        <f>322650/1000</f>
        <v>322.64999999999998</v>
      </c>
      <c r="J13" s="182">
        <v>3</v>
      </c>
      <c r="K13" s="181">
        <v>283.89999999999998</v>
      </c>
      <c r="L13" s="182">
        <v>4</v>
      </c>
      <c r="M13" s="181">
        <v>558.51</v>
      </c>
      <c r="N13" s="182">
        <v>8</v>
      </c>
      <c r="O13" s="183">
        <v>1803.47</v>
      </c>
      <c r="P13" s="184">
        <v>28</v>
      </c>
      <c r="Q13" s="181">
        <v>1115.21</v>
      </c>
      <c r="R13" s="182">
        <v>21</v>
      </c>
      <c r="S13" s="185">
        <v>892.19</v>
      </c>
      <c r="T13" s="186">
        <v>18</v>
      </c>
      <c r="U13" s="185">
        <v>805.61</v>
      </c>
      <c r="V13" s="186">
        <v>14</v>
      </c>
      <c r="W13" s="185">
        <v>681.06</v>
      </c>
      <c r="X13" s="186">
        <v>15</v>
      </c>
      <c r="Y13" s="181">
        <v>561.84</v>
      </c>
      <c r="Z13" s="187">
        <v>9</v>
      </c>
      <c r="AA13" s="185">
        <v>815.87</v>
      </c>
      <c r="AB13" s="186">
        <v>13</v>
      </c>
      <c r="AC13" s="185">
        <v>365.85</v>
      </c>
      <c r="AD13" s="186">
        <v>8</v>
      </c>
      <c r="AE13" s="185">
        <v>582.79999999999995</v>
      </c>
      <c r="AF13" s="186">
        <v>12</v>
      </c>
      <c r="AG13" s="185">
        <v>594.35</v>
      </c>
      <c r="AH13" s="186">
        <v>13</v>
      </c>
      <c r="AI13" s="188">
        <v>438.89</v>
      </c>
      <c r="AJ13" s="186">
        <v>9</v>
      </c>
      <c r="AK13" s="185">
        <v>447.34</v>
      </c>
      <c r="AL13" s="186">
        <v>8</v>
      </c>
      <c r="AM13" s="185">
        <v>384.96</v>
      </c>
      <c r="AN13" s="186">
        <v>9</v>
      </c>
      <c r="AO13" s="185">
        <v>375.6</v>
      </c>
      <c r="AP13" s="186">
        <v>10</v>
      </c>
      <c r="AQ13" s="185">
        <v>840.69</v>
      </c>
      <c r="AR13" s="186">
        <v>27</v>
      </c>
      <c r="AS13" s="185">
        <v>703.05</v>
      </c>
      <c r="AT13" s="186">
        <v>19</v>
      </c>
      <c r="AU13" s="188">
        <v>417.84</v>
      </c>
      <c r="AV13" s="186">
        <v>15</v>
      </c>
      <c r="AW13" s="188">
        <v>1008.93</v>
      </c>
      <c r="AX13" s="186">
        <v>32</v>
      </c>
      <c r="AY13" s="185">
        <v>559.32000000000005</v>
      </c>
      <c r="AZ13" s="186">
        <v>15</v>
      </c>
      <c r="BA13" s="185">
        <v>123.39</v>
      </c>
      <c r="BB13" s="186">
        <v>4</v>
      </c>
      <c r="BC13" s="185">
        <f>ENE!G67</f>
        <v>417.87</v>
      </c>
      <c r="BD13" s="202">
        <f>ENE!H67</f>
        <v>8</v>
      </c>
      <c r="BE13" s="297">
        <f>(BC13-BA13)/BA13</f>
        <v>2.3865791393143692</v>
      </c>
      <c r="BF13" s="136"/>
      <c r="BG13" s="136"/>
      <c r="BH13" s="136"/>
    </row>
    <row r="14" spans="1:60" s="137" customFormat="1" ht="15" customHeight="1">
      <c r="A14" s="180"/>
      <c r="B14" s="206" t="s">
        <v>33</v>
      </c>
      <c r="C14" s="181">
        <f>274907/1000</f>
        <v>274.90699999999998</v>
      </c>
      <c r="D14" s="182">
        <v>23</v>
      </c>
      <c r="E14" s="181">
        <f>532096/1000</f>
        <v>532.096</v>
      </c>
      <c r="F14" s="182">
        <v>22</v>
      </c>
      <c r="G14" s="181">
        <f>576426/1000</f>
        <v>576.42600000000004</v>
      </c>
      <c r="H14" s="182">
        <v>25</v>
      </c>
      <c r="I14" s="181">
        <f>402657/1000</f>
        <v>402.65699999999998</v>
      </c>
      <c r="J14" s="182">
        <v>4</v>
      </c>
      <c r="K14" s="181">
        <v>272.3</v>
      </c>
      <c r="L14" s="182">
        <v>4</v>
      </c>
      <c r="M14" s="181">
        <v>753.89</v>
      </c>
      <c r="N14" s="182">
        <v>11</v>
      </c>
      <c r="O14" s="183">
        <v>1387.69</v>
      </c>
      <c r="P14" s="184">
        <v>24</v>
      </c>
      <c r="Q14" s="181">
        <v>1416.16</v>
      </c>
      <c r="R14" s="182">
        <v>25</v>
      </c>
      <c r="S14" s="185">
        <v>1407.57</v>
      </c>
      <c r="T14" s="186">
        <v>25</v>
      </c>
      <c r="U14" s="185">
        <v>811.31</v>
      </c>
      <c r="V14" s="186">
        <v>13</v>
      </c>
      <c r="W14" s="185">
        <v>1530.37</v>
      </c>
      <c r="X14" s="186">
        <v>30</v>
      </c>
      <c r="Y14" s="181">
        <v>1002.49</v>
      </c>
      <c r="Z14" s="189">
        <v>16</v>
      </c>
      <c r="AA14" s="185">
        <v>803.67</v>
      </c>
      <c r="AB14" s="186">
        <v>15</v>
      </c>
      <c r="AC14" s="185">
        <v>1070.47</v>
      </c>
      <c r="AD14" s="186">
        <v>19</v>
      </c>
      <c r="AE14" s="185">
        <v>381.85</v>
      </c>
      <c r="AF14" s="186">
        <v>6</v>
      </c>
      <c r="AG14" s="185">
        <v>731.78</v>
      </c>
      <c r="AH14" s="186">
        <v>14</v>
      </c>
      <c r="AI14" s="188">
        <v>551.51</v>
      </c>
      <c r="AJ14" s="186">
        <v>11</v>
      </c>
      <c r="AK14" s="185">
        <v>536.54999999999995</v>
      </c>
      <c r="AL14" s="186">
        <v>8</v>
      </c>
      <c r="AM14" s="185">
        <v>175.95</v>
      </c>
      <c r="AN14" s="186">
        <v>5</v>
      </c>
      <c r="AO14" s="185">
        <v>438.63</v>
      </c>
      <c r="AP14" s="186">
        <v>16</v>
      </c>
      <c r="AQ14" s="185">
        <v>754.2</v>
      </c>
      <c r="AR14" s="186">
        <v>23</v>
      </c>
      <c r="AS14" s="185">
        <v>835.29</v>
      </c>
      <c r="AT14" s="186">
        <v>22</v>
      </c>
      <c r="AU14" s="188">
        <v>591.57000000000005</v>
      </c>
      <c r="AV14" s="186">
        <v>22</v>
      </c>
      <c r="AW14" s="188">
        <v>719.82</v>
      </c>
      <c r="AX14" s="186">
        <v>25</v>
      </c>
      <c r="AY14" s="185">
        <v>437.76</v>
      </c>
      <c r="AZ14" s="186">
        <v>19</v>
      </c>
      <c r="BA14" s="185">
        <v>176.79</v>
      </c>
      <c r="BB14" s="186">
        <v>6</v>
      </c>
      <c r="BC14" s="185">
        <f>FEB!G72</f>
        <v>127.8</v>
      </c>
      <c r="BD14" s="202">
        <f>FEB!H72</f>
        <v>2</v>
      </c>
      <c r="BE14" s="204">
        <f>(BC14-BA14)/BA14</f>
        <v>-0.27710843373493976</v>
      </c>
      <c r="BF14" s="136"/>
      <c r="BG14" s="136"/>
      <c r="BH14" s="136"/>
    </row>
    <row r="15" spans="1:60" s="137" customFormat="1" ht="15" customHeight="1">
      <c r="A15" s="180"/>
      <c r="B15" s="206" t="s">
        <v>35</v>
      </c>
      <c r="C15" s="181">
        <f>222008/1000</f>
        <v>222.00800000000001</v>
      </c>
      <c r="D15" s="182">
        <v>18</v>
      </c>
      <c r="E15" s="181">
        <f>558775/1000</f>
        <v>558.77499999999998</v>
      </c>
      <c r="F15" s="182">
        <v>19</v>
      </c>
      <c r="G15" s="181">
        <f>240645/1000</f>
        <v>240.64500000000001</v>
      </c>
      <c r="H15" s="182">
        <v>17</v>
      </c>
      <c r="I15" s="181">
        <f>546693/1000</f>
        <v>546.69299999999998</v>
      </c>
      <c r="J15" s="182">
        <v>9</v>
      </c>
      <c r="K15" s="181">
        <v>323.31</v>
      </c>
      <c r="L15" s="182">
        <v>6</v>
      </c>
      <c r="M15" s="181">
        <v>801.94</v>
      </c>
      <c r="N15" s="182">
        <v>14</v>
      </c>
      <c r="O15" s="183">
        <v>1681.26</v>
      </c>
      <c r="P15" s="184">
        <v>28</v>
      </c>
      <c r="Q15" s="181">
        <v>1195.19</v>
      </c>
      <c r="R15" s="182">
        <v>25</v>
      </c>
      <c r="S15" s="185">
        <v>1036.2</v>
      </c>
      <c r="T15" s="186">
        <v>17</v>
      </c>
      <c r="U15" s="185">
        <v>1349.31</v>
      </c>
      <c r="V15" s="186">
        <v>22</v>
      </c>
      <c r="W15" s="185">
        <v>776.01</v>
      </c>
      <c r="X15" s="186">
        <v>13</v>
      </c>
      <c r="Y15" s="181">
        <v>1264.43</v>
      </c>
      <c r="Z15" s="189">
        <v>20</v>
      </c>
      <c r="AA15" s="185">
        <v>1155.1400000000001</v>
      </c>
      <c r="AB15" s="186">
        <v>20</v>
      </c>
      <c r="AC15" s="185">
        <v>1086.32</v>
      </c>
      <c r="AD15" s="186">
        <v>19</v>
      </c>
      <c r="AE15" s="185">
        <v>978.56</v>
      </c>
      <c r="AF15" s="186">
        <v>15</v>
      </c>
      <c r="AG15" s="185">
        <v>657.49</v>
      </c>
      <c r="AH15" s="186">
        <v>14</v>
      </c>
      <c r="AI15" s="188">
        <v>885.87</v>
      </c>
      <c r="AJ15" s="186">
        <v>17</v>
      </c>
      <c r="AK15" s="185">
        <v>576.9</v>
      </c>
      <c r="AL15" s="186">
        <v>10</v>
      </c>
      <c r="AM15" s="185">
        <v>188.67</v>
      </c>
      <c r="AN15" s="186">
        <v>5</v>
      </c>
      <c r="AO15" s="185">
        <v>131.1</v>
      </c>
      <c r="AP15" s="186">
        <v>6</v>
      </c>
      <c r="AQ15" s="185">
        <v>748.95</v>
      </c>
      <c r="AR15" s="186">
        <v>22</v>
      </c>
      <c r="AS15" s="185">
        <v>1119.3900000000001</v>
      </c>
      <c r="AT15" s="186">
        <v>29</v>
      </c>
      <c r="AU15" s="188">
        <v>408.24</v>
      </c>
      <c r="AV15" s="186">
        <v>13</v>
      </c>
      <c r="AW15" s="188">
        <v>815.73</v>
      </c>
      <c r="AX15" s="186">
        <v>26</v>
      </c>
      <c r="AY15" s="185">
        <v>541.5</v>
      </c>
      <c r="AZ15" s="186">
        <v>15</v>
      </c>
      <c r="BA15" s="185">
        <v>370.56</v>
      </c>
      <c r="BB15" s="186">
        <v>11</v>
      </c>
      <c r="BC15" s="185">
        <f>MAR!G65</f>
        <v>78.06</v>
      </c>
      <c r="BD15" s="202">
        <f>MAR!H65</f>
        <v>2</v>
      </c>
      <c r="BE15" s="204">
        <f t="shared" ref="BE15:BE25" si="0">(BC15-BA15)/BA15</f>
        <v>-0.78934585492227982</v>
      </c>
      <c r="BF15" s="136"/>
      <c r="BG15" s="136"/>
      <c r="BH15" s="136"/>
    </row>
    <row r="16" spans="1:60" s="137" customFormat="1" ht="15" customHeight="1">
      <c r="A16" s="180"/>
      <c r="B16" s="206" t="s">
        <v>37</v>
      </c>
      <c r="C16" s="181">
        <f>637682.85/1000</f>
        <v>637.68285000000003</v>
      </c>
      <c r="D16" s="182">
        <v>20</v>
      </c>
      <c r="E16" s="181">
        <f>425923/1000</f>
        <v>425.923</v>
      </c>
      <c r="F16" s="182">
        <v>21</v>
      </c>
      <c r="G16" s="181">
        <f>128440/1000</f>
        <v>128.44</v>
      </c>
      <c r="H16" s="182">
        <v>8</v>
      </c>
      <c r="I16" s="181">
        <f>436620/1000</f>
        <v>436.62</v>
      </c>
      <c r="J16" s="182">
        <v>5</v>
      </c>
      <c r="K16" s="181">
        <v>499.13</v>
      </c>
      <c r="L16" s="182">
        <v>8</v>
      </c>
      <c r="M16" s="181">
        <v>816.02</v>
      </c>
      <c r="N16" s="182">
        <v>16</v>
      </c>
      <c r="O16" s="183">
        <v>1239.72</v>
      </c>
      <c r="P16" s="184">
        <v>24</v>
      </c>
      <c r="Q16" s="181">
        <v>1908.04</v>
      </c>
      <c r="R16" s="182">
        <v>38</v>
      </c>
      <c r="S16" s="185">
        <v>754.32</v>
      </c>
      <c r="T16" s="186">
        <v>14</v>
      </c>
      <c r="U16" s="185">
        <v>1141.5899999999999</v>
      </c>
      <c r="V16" s="186">
        <v>18</v>
      </c>
      <c r="W16" s="185">
        <v>696.96</v>
      </c>
      <c r="X16" s="186">
        <v>14</v>
      </c>
      <c r="Y16" s="181">
        <v>1049.3</v>
      </c>
      <c r="Z16" s="189">
        <v>19</v>
      </c>
      <c r="AA16" s="185">
        <v>906.86</v>
      </c>
      <c r="AB16" s="186">
        <v>17</v>
      </c>
      <c r="AC16" s="185">
        <v>1150.77</v>
      </c>
      <c r="AD16" s="186">
        <v>16</v>
      </c>
      <c r="AE16" s="185">
        <v>923.73</v>
      </c>
      <c r="AF16" s="186">
        <v>14</v>
      </c>
      <c r="AG16" s="185">
        <v>763.78</v>
      </c>
      <c r="AH16" s="186">
        <v>24</v>
      </c>
      <c r="AI16" s="188">
        <v>800.16</v>
      </c>
      <c r="AJ16" s="186">
        <v>13</v>
      </c>
      <c r="AK16" s="185">
        <v>344.6</v>
      </c>
      <c r="AL16" s="186">
        <v>6</v>
      </c>
      <c r="AM16" s="185">
        <v>63</v>
      </c>
      <c r="AN16" s="186">
        <v>2</v>
      </c>
      <c r="AO16" s="185">
        <v>280.98</v>
      </c>
      <c r="AP16" s="186">
        <v>10</v>
      </c>
      <c r="AQ16" s="185">
        <v>468.21</v>
      </c>
      <c r="AR16" s="186">
        <v>13</v>
      </c>
      <c r="AS16" s="185">
        <v>501.99</v>
      </c>
      <c r="AT16" s="186">
        <v>13</v>
      </c>
      <c r="AU16" s="188">
        <v>188.13</v>
      </c>
      <c r="AV16" s="186">
        <v>6</v>
      </c>
      <c r="AW16" s="188">
        <v>323.73</v>
      </c>
      <c r="AX16" s="186">
        <v>11</v>
      </c>
      <c r="AY16" s="185">
        <v>509.58</v>
      </c>
      <c r="AZ16" s="186">
        <v>18</v>
      </c>
      <c r="BA16" s="185">
        <v>201.99</v>
      </c>
      <c r="BB16" s="186">
        <v>8</v>
      </c>
      <c r="BC16" s="185">
        <f>ABR!G65</f>
        <v>0</v>
      </c>
      <c r="BD16" s="202">
        <f>ABR!H65</f>
        <v>0</v>
      </c>
      <c r="BE16" s="204">
        <f t="shared" si="0"/>
        <v>-1</v>
      </c>
      <c r="BF16" s="136"/>
      <c r="BG16" s="136"/>
      <c r="BH16" s="136"/>
    </row>
    <row r="17" spans="1:60" s="137" customFormat="1" ht="15" customHeight="1">
      <c r="A17" s="180"/>
      <c r="B17" s="206" t="s">
        <v>39</v>
      </c>
      <c r="C17" s="181">
        <f>162044/1000</f>
        <v>162.04400000000001</v>
      </c>
      <c r="D17" s="182">
        <v>11</v>
      </c>
      <c r="E17" s="181">
        <f>499084/1000</f>
        <v>499.084</v>
      </c>
      <c r="F17" s="182">
        <v>19</v>
      </c>
      <c r="G17" s="181">
        <f>142898/1000</f>
        <v>142.898</v>
      </c>
      <c r="H17" s="182">
        <v>12</v>
      </c>
      <c r="I17" s="181">
        <f>463140/1000</f>
        <v>463.14</v>
      </c>
      <c r="J17" s="182">
        <v>5</v>
      </c>
      <c r="K17" s="181">
        <v>439.51</v>
      </c>
      <c r="L17" s="182">
        <v>8</v>
      </c>
      <c r="M17" s="181">
        <v>946.61</v>
      </c>
      <c r="N17" s="182">
        <v>18</v>
      </c>
      <c r="O17" s="183">
        <v>1369.43</v>
      </c>
      <c r="P17" s="184">
        <v>24</v>
      </c>
      <c r="Q17" s="181">
        <v>1476.65</v>
      </c>
      <c r="R17" s="182">
        <v>31</v>
      </c>
      <c r="S17" s="185">
        <v>685.97</v>
      </c>
      <c r="T17" s="186">
        <v>13</v>
      </c>
      <c r="U17" s="185">
        <v>1105.8699999999999</v>
      </c>
      <c r="V17" s="186">
        <v>16</v>
      </c>
      <c r="W17" s="185">
        <v>475.63</v>
      </c>
      <c r="X17" s="186">
        <v>8</v>
      </c>
      <c r="Y17" s="183">
        <v>630.75</v>
      </c>
      <c r="Z17" s="189">
        <v>11</v>
      </c>
      <c r="AA17" s="185">
        <v>901.78</v>
      </c>
      <c r="AB17" s="186">
        <v>14</v>
      </c>
      <c r="AC17" s="185">
        <v>668.75</v>
      </c>
      <c r="AD17" s="186">
        <v>11</v>
      </c>
      <c r="AE17" s="185">
        <v>716.04</v>
      </c>
      <c r="AF17" s="186">
        <v>12</v>
      </c>
      <c r="AG17" s="185">
        <v>613</v>
      </c>
      <c r="AH17" s="186">
        <v>20</v>
      </c>
      <c r="AI17" s="188">
        <v>1020.73</v>
      </c>
      <c r="AJ17" s="186">
        <v>17</v>
      </c>
      <c r="AK17" s="185">
        <v>99.4</v>
      </c>
      <c r="AL17" s="186">
        <v>3</v>
      </c>
      <c r="AM17" s="185">
        <v>167.07</v>
      </c>
      <c r="AN17" s="186">
        <v>5</v>
      </c>
      <c r="AO17" s="185">
        <v>217.35</v>
      </c>
      <c r="AP17" s="186">
        <v>7</v>
      </c>
      <c r="AQ17" s="185">
        <v>33.99</v>
      </c>
      <c r="AR17" s="186">
        <v>1</v>
      </c>
      <c r="AS17" s="185">
        <v>410.58</v>
      </c>
      <c r="AT17" s="186">
        <v>11</v>
      </c>
      <c r="AU17" s="188">
        <v>279.93</v>
      </c>
      <c r="AV17" s="186">
        <v>8</v>
      </c>
      <c r="AW17" s="188">
        <v>142.35</v>
      </c>
      <c r="AX17" s="186">
        <v>6</v>
      </c>
      <c r="AY17" s="185">
        <v>38.22</v>
      </c>
      <c r="AZ17" s="186">
        <v>2</v>
      </c>
      <c r="BA17" s="185">
        <v>60.9</v>
      </c>
      <c r="BB17" s="186">
        <v>2</v>
      </c>
      <c r="BC17" s="185">
        <f>MAY!G67</f>
        <v>0</v>
      </c>
      <c r="BD17" s="202">
        <f>MAY!H67</f>
        <v>0</v>
      </c>
      <c r="BE17" s="204">
        <f t="shared" si="0"/>
        <v>-1</v>
      </c>
      <c r="BF17" s="136"/>
      <c r="BG17" s="136"/>
      <c r="BH17" s="136"/>
    </row>
    <row r="18" spans="1:60" s="137" customFormat="1" ht="15" customHeight="1">
      <c r="A18" s="180"/>
      <c r="B18" s="206" t="s">
        <v>41</v>
      </c>
      <c r="C18" s="181">
        <f>549246/1000</f>
        <v>549.24599999999998</v>
      </c>
      <c r="D18" s="182">
        <v>16</v>
      </c>
      <c r="E18" s="181">
        <f>650381/1000</f>
        <v>650.38099999999997</v>
      </c>
      <c r="F18" s="182">
        <v>24</v>
      </c>
      <c r="G18" s="181">
        <f>102949/1000</f>
        <v>102.949</v>
      </c>
      <c r="H18" s="182">
        <v>10</v>
      </c>
      <c r="I18" s="181">
        <f>1527070/1000</f>
        <v>1527.07</v>
      </c>
      <c r="J18" s="182">
        <v>11</v>
      </c>
      <c r="K18" s="181">
        <v>245.03</v>
      </c>
      <c r="L18" s="182">
        <v>3</v>
      </c>
      <c r="M18" s="181">
        <v>867.68</v>
      </c>
      <c r="N18" s="182">
        <v>18</v>
      </c>
      <c r="O18" s="183">
        <v>1047.78</v>
      </c>
      <c r="P18" s="184">
        <v>19</v>
      </c>
      <c r="Q18" s="181">
        <v>1109.3599999999999</v>
      </c>
      <c r="R18" s="182">
        <v>29</v>
      </c>
      <c r="S18" s="185">
        <v>985.92</v>
      </c>
      <c r="T18" s="186">
        <v>17</v>
      </c>
      <c r="U18" s="185">
        <v>895.82</v>
      </c>
      <c r="V18" s="186">
        <v>16</v>
      </c>
      <c r="W18" s="185">
        <v>842.5</v>
      </c>
      <c r="X18" s="186">
        <v>12</v>
      </c>
      <c r="Y18" s="181">
        <v>347.04</v>
      </c>
      <c r="Z18" s="189">
        <v>9</v>
      </c>
      <c r="AA18" s="185">
        <v>585.04999999999995</v>
      </c>
      <c r="AB18" s="186">
        <v>9</v>
      </c>
      <c r="AC18" s="185">
        <v>881.08</v>
      </c>
      <c r="AD18" s="186">
        <v>13</v>
      </c>
      <c r="AE18" s="185">
        <v>784.71</v>
      </c>
      <c r="AF18" s="186">
        <v>13</v>
      </c>
      <c r="AG18" s="185">
        <v>606.23</v>
      </c>
      <c r="AH18" s="186">
        <v>10</v>
      </c>
      <c r="AI18" s="188">
        <v>157.5</v>
      </c>
      <c r="AJ18" s="186">
        <v>3</v>
      </c>
      <c r="AK18" s="185">
        <v>163.80000000000001</v>
      </c>
      <c r="AL18" s="186">
        <v>2</v>
      </c>
      <c r="AM18" s="185">
        <v>244.23</v>
      </c>
      <c r="AN18" s="186">
        <v>6</v>
      </c>
      <c r="AO18" s="185">
        <v>0</v>
      </c>
      <c r="AP18" s="186">
        <v>0</v>
      </c>
      <c r="AQ18" s="185">
        <v>0</v>
      </c>
      <c r="AR18" s="186">
        <v>0</v>
      </c>
      <c r="AS18" s="185">
        <v>183.39</v>
      </c>
      <c r="AT18" s="186">
        <v>5</v>
      </c>
      <c r="AU18" s="188">
        <v>202.08</v>
      </c>
      <c r="AV18" s="186">
        <v>7</v>
      </c>
      <c r="AW18" s="188">
        <v>189.81</v>
      </c>
      <c r="AX18" s="186">
        <v>6</v>
      </c>
      <c r="AY18" s="185">
        <v>136.56</v>
      </c>
      <c r="AZ18" s="186">
        <v>2</v>
      </c>
      <c r="BA18" s="185">
        <v>0</v>
      </c>
      <c r="BB18" s="186">
        <v>0</v>
      </c>
      <c r="BC18" s="185">
        <f>JUN!G62</f>
        <v>32.46</v>
      </c>
      <c r="BD18" s="202">
        <f>JUN!H62</f>
        <v>1</v>
      </c>
      <c r="BE18" s="297" t="e">
        <f>(BC18-BA18)/BA18</f>
        <v>#DIV/0!</v>
      </c>
      <c r="BF18" s="136"/>
      <c r="BG18" s="136"/>
      <c r="BH18" s="136"/>
    </row>
    <row r="19" spans="1:60" s="229" customFormat="1" ht="20.100000000000001" customHeight="1">
      <c r="A19" s="221"/>
      <c r="B19" s="230" t="s">
        <v>62</v>
      </c>
      <c r="C19" s="231">
        <f>SUM(C13:C18)</f>
        <v>2198.8253800000002</v>
      </c>
      <c r="D19" s="232">
        <f>SUM(D13:D18)</f>
        <v>119</v>
      </c>
      <c r="E19" s="231">
        <f t="shared" ref="E19:L19" si="1">SUM(E13:E18)</f>
        <v>3182.2359999999999</v>
      </c>
      <c r="F19" s="232">
        <f t="shared" si="1"/>
        <v>136</v>
      </c>
      <c r="G19" s="231">
        <f t="shared" si="1"/>
        <v>1582.2460000000001</v>
      </c>
      <c r="H19" s="232">
        <f t="shared" si="1"/>
        <v>93</v>
      </c>
      <c r="I19" s="231">
        <f t="shared" si="1"/>
        <v>3698.83</v>
      </c>
      <c r="J19" s="233">
        <f t="shared" si="1"/>
        <v>37</v>
      </c>
      <c r="K19" s="231">
        <f t="shared" si="1"/>
        <v>2063.1799999999998</v>
      </c>
      <c r="L19" s="233">
        <f t="shared" si="1"/>
        <v>33</v>
      </c>
      <c r="M19" s="231">
        <f>SUM(M13:M18)</f>
        <v>4744.6500000000005</v>
      </c>
      <c r="N19" s="232">
        <f>SUM(N13:N18)</f>
        <v>85</v>
      </c>
      <c r="O19" s="234">
        <f>SUM(O13:O18)</f>
        <v>8529.35</v>
      </c>
      <c r="P19" s="233">
        <f>SUM(P13:P18)</f>
        <v>147</v>
      </c>
      <c r="Q19" s="231">
        <v>8220.61</v>
      </c>
      <c r="R19" s="232">
        <v>169</v>
      </c>
      <c r="S19" s="235">
        <f t="shared" ref="S19:Z19" si="2">SUM(S13:S18)</f>
        <v>5762.17</v>
      </c>
      <c r="T19" s="236">
        <f t="shared" si="2"/>
        <v>104</v>
      </c>
      <c r="U19" s="235">
        <f t="shared" si="2"/>
        <v>6109.5099999999993</v>
      </c>
      <c r="V19" s="236">
        <f t="shared" si="2"/>
        <v>99</v>
      </c>
      <c r="W19" s="235">
        <f t="shared" si="2"/>
        <v>5002.53</v>
      </c>
      <c r="X19" s="236">
        <f t="shared" si="2"/>
        <v>92</v>
      </c>
      <c r="Y19" s="234">
        <f t="shared" si="2"/>
        <v>4855.8500000000004</v>
      </c>
      <c r="Z19" s="237">
        <f t="shared" si="2"/>
        <v>84</v>
      </c>
      <c r="AA19" s="235">
        <f>SUM(AA13:AA18)</f>
        <v>5168.3700000000008</v>
      </c>
      <c r="AB19" s="236">
        <f>SUM(AB13:AB18)</f>
        <v>88</v>
      </c>
      <c r="AC19" s="235">
        <v>5223.24</v>
      </c>
      <c r="AD19" s="236">
        <v>86</v>
      </c>
      <c r="AE19" s="235">
        <v>4367.6899999999996</v>
      </c>
      <c r="AF19" s="236">
        <f>SUM(AF13:AF18)</f>
        <v>72</v>
      </c>
      <c r="AG19" s="235">
        <f>SUM(AG13:AG18)</f>
        <v>3966.63</v>
      </c>
      <c r="AH19" s="236">
        <f>SUM(AH13:AH18)</f>
        <v>95</v>
      </c>
      <c r="AI19" s="235">
        <f>SUM(AI13:AI18)</f>
        <v>3854.66</v>
      </c>
      <c r="AJ19" s="236">
        <v>70</v>
      </c>
      <c r="AK19" s="235">
        <f>SUM(AK13:AK18)</f>
        <v>2168.59</v>
      </c>
      <c r="AL19" s="236">
        <f t="shared" ref="AL19:AZ19" si="3">SUM(AL13:AL18)</f>
        <v>37</v>
      </c>
      <c r="AM19" s="235">
        <f>SUM(AM13:AM18)</f>
        <v>1223.8799999999999</v>
      </c>
      <c r="AN19" s="236">
        <f t="shared" si="3"/>
        <v>32</v>
      </c>
      <c r="AO19" s="235">
        <f>SUM(AO13:AO18)</f>
        <v>1443.6599999999999</v>
      </c>
      <c r="AP19" s="236">
        <f t="shared" si="3"/>
        <v>49</v>
      </c>
      <c r="AQ19" s="235">
        <f>SUM(AQ13:AQ18)</f>
        <v>2846.04</v>
      </c>
      <c r="AR19" s="236">
        <f t="shared" si="3"/>
        <v>86</v>
      </c>
      <c r="AS19" s="235">
        <f>SUM(AS13:AS18)</f>
        <v>3753.69</v>
      </c>
      <c r="AT19" s="236">
        <f t="shared" si="3"/>
        <v>99</v>
      </c>
      <c r="AU19" s="235">
        <f>SUM(AU13:AU18)</f>
        <v>2087.7900000000004</v>
      </c>
      <c r="AV19" s="236">
        <f t="shared" si="3"/>
        <v>71</v>
      </c>
      <c r="AW19" s="235">
        <f>SUM(AW13:AW18)</f>
        <v>3200.37</v>
      </c>
      <c r="AX19" s="236">
        <f t="shared" si="3"/>
        <v>106</v>
      </c>
      <c r="AY19" s="235">
        <f>SUM(AY13:AY18)</f>
        <v>2222.9399999999996</v>
      </c>
      <c r="AZ19" s="236">
        <f t="shared" si="3"/>
        <v>71</v>
      </c>
      <c r="BA19" s="235">
        <v>933.63</v>
      </c>
      <c r="BB19" s="236">
        <v>31</v>
      </c>
      <c r="BC19" s="235">
        <f>SUM(BC13:BC18)</f>
        <v>656.19</v>
      </c>
      <c r="BD19" s="238">
        <f t="shared" ref="BD19" si="4">SUM(BD13:BD18)</f>
        <v>13</v>
      </c>
      <c r="BE19" s="236"/>
      <c r="BF19" s="228"/>
      <c r="BG19" s="228"/>
      <c r="BH19" s="228"/>
    </row>
    <row r="20" spans="1:60" s="137" customFormat="1" ht="15" customHeight="1">
      <c r="A20" s="180"/>
      <c r="B20" s="206" t="s">
        <v>47</v>
      </c>
      <c r="C20" s="181">
        <f>263044.84/1000</f>
        <v>263.04484000000002</v>
      </c>
      <c r="D20" s="182">
        <v>19</v>
      </c>
      <c r="E20" s="181">
        <f>295129/1000</f>
        <v>295.12900000000002</v>
      </c>
      <c r="F20" s="182">
        <v>21</v>
      </c>
      <c r="G20" s="181">
        <f>18177/1000</f>
        <v>18.177</v>
      </c>
      <c r="H20" s="182">
        <v>4</v>
      </c>
      <c r="I20" s="181">
        <f>687861/1000</f>
        <v>687.86099999999999</v>
      </c>
      <c r="J20" s="182">
        <v>13</v>
      </c>
      <c r="K20" s="181">
        <v>196</v>
      </c>
      <c r="L20" s="182">
        <v>3</v>
      </c>
      <c r="M20" s="181">
        <v>2687.96</v>
      </c>
      <c r="N20" s="182">
        <v>24</v>
      </c>
      <c r="O20" s="183">
        <v>615.02</v>
      </c>
      <c r="P20" s="184">
        <v>16</v>
      </c>
      <c r="Q20" s="181">
        <v>879.89</v>
      </c>
      <c r="R20" s="182">
        <v>17</v>
      </c>
      <c r="S20" s="185">
        <v>1012.5</v>
      </c>
      <c r="T20" s="186">
        <v>16</v>
      </c>
      <c r="U20" s="185">
        <v>807.1</v>
      </c>
      <c r="V20" s="186">
        <v>13</v>
      </c>
      <c r="W20" s="185">
        <v>897.95</v>
      </c>
      <c r="X20" s="186">
        <v>16</v>
      </c>
      <c r="Y20" s="181">
        <v>264.60000000000002</v>
      </c>
      <c r="Z20" s="189">
        <v>7</v>
      </c>
      <c r="AA20" s="185">
        <v>1100.45</v>
      </c>
      <c r="AB20" s="186">
        <v>19</v>
      </c>
      <c r="AC20" s="185">
        <v>527.62</v>
      </c>
      <c r="AD20" s="186">
        <v>9</v>
      </c>
      <c r="AE20" s="185">
        <v>1065.08</v>
      </c>
      <c r="AF20" s="186">
        <v>15</v>
      </c>
      <c r="AG20" s="185">
        <v>381.44</v>
      </c>
      <c r="AH20" s="186">
        <v>7</v>
      </c>
      <c r="AI20" s="185">
        <v>264.93</v>
      </c>
      <c r="AJ20" s="186">
        <v>4</v>
      </c>
      <c r="AK20" s="185">
        <v>174.12</v>
      </c>
      <c r="AL20" s="186">
        <v>3</v>
      </c>
      <c r="AM20" s="185">
        <v>123.06</v>
      </c>
      <c r="AN20" s="186">
        <v>3</v>
      </c>
      <c r="AO20" s="185">
        <v>93.12</v>
      </c>
      <c r="AP20" s="186">
        <v>2</v>
      </c>
      <c r="AQ20" s="185">
        <v>36.15</v>
      </c>
      <c r="AR20" s="186">
        <v>1</v>
      </c>
      <c r="AS20" s="185">
        <v>149.79</v>
      </c>
      <c r="AT20" s="186">
        <v>4</v>
      </c>
      <c r="AU20" s="188">
        <v>178.92</v>
      </c>
      <c r="AV20" s="186">
        <v>6</v>
      </c>
      <c r="AW20" s="188">
        <v>288.27</v>
      </c>
      <c r="AX20" s="186">
        <v>7</v>
      </c>
      <c r="AY20" s="185">
        <v>380.88</v>
      </c>
      <c r="AZ20" s="186">
        <v>6</v>
      </c>
      <c r="BA20" s="185">
        <v>0</v>
      </c>
      <c r="BB20" s="186">
        <v>0</v>
      </c>
      <c r="BC20" s="185">
        <f>+JUL!G63</f>
        <v>79.47</v>
      </c>
      <c r="BD20" s="202">
        <f>JUL!H63</f>
        <v>1</v>
      </c>
      <c r="BE20" s="204" t="e">
        <f t="shared" si="0"/>
        <v>#DIV/0!</v>
      </c>
      <c r="BF20" s="136"/>
      <c r="BG20" s="136"/>
      <c r="BH20" s="136"/>
    </row>
    <row r="21" spans="1:60" s="137" customFormat="1" ht="15" customHeight="1">
      <c r="A21" s="180"/>
      <c r="B21" s="206" t="s">
        <v>49</v>
      </c>
      <c r="C21" s="181">
        <f>873846.52/1000</f>
        <v>873.84652000000006</v>
      </c>
      <c r="D21" s="182">
        <v>33</v>
      </c>
      <c r="E21" s="181">
        <f>64031/1000</f>
        <v>64.031000000000006</v>
      </c>
      <c r="F21" s="182">
        <v>18</v>
      </c>
      <c r="G21" s="181">
        <f>140860/1000</f>
        <v>140.86000000000001</v>
      </c>
      <c r="H21" s="182">
        <v>3</v>
      </c>
      <c r="I21" s="181">
        <f>1332491/1000</f>
        <v>1332.491</v>
      </c>
      <c r="J21" s="182">
        <v>17</v>
      </c>
      <c r="K21" s="181">
        <v>298.36</v>
      </c>
      <c r="L21" s="182">
        <v>5</v>
      </c>
      <c r="M21" s="181">
        <v>2681.61</v>
      </c>
      <c r="N21" s="182">
        <v>31</v>
      </c>
      <c r="O21" s="183">
        <v>1616.9</v>
      </c>
      <c r="P21" s="184">
        <v>30</v>
      </c>
      <c r="Q21" s="181">
        <v>2001.11</v>
      </c>
      <c r="R21" s="182">
        <v>41</v>
      </c>
      <c r="S21" s="185">
        <v>1155.5899999999999</v>
      </c>
      <c r="T21" s="186">
        <v>18</v>
      </c>
      <c r="U21" s="185">
        <v>1383.89</v>
      </c>
      <c r="V21" s="186">
        <v>23</v>
      </c>
      <c r="W21" s="185">
        <v>855.18</v>
      </c>
      <c r="X21" s="186">
        <v>15</v>
      </c>
      <c r="Y21" s="181">
        <v>240.6</v>
      </c>
      <c r="Z21" s="189">
        <v>5</v>
      </c>
      <c r="AA21" s="185">
        <v>1032.3399999999999</v>
      </c>
      <c r="AB21" s="186">
        <v>18</v>
      </c>
      <c r="AC21" s="185">
        <v>777.41</v>
      </c>
      <c r="AD21" s="186">
        <v>13</v>
      </c>
      <c r="AE21" s="185">
        <v>796.05</v>
      </c>
      <c r="AF21" s="186">
        <v>10</v>
      </c>
      <c r="AG21" s="185">
        <v>570.65</v>
      </c>
      <c r="AH21" s="186">
        <v>13</v>
      </c>
      <c r="AI21" s="185">
        <v>308.79000000000002</v>
      </c>
      <c r="AJ21" s="186">
        <v>6</v>
      </c>
      <c r="AK21" s="185">
        <v>201.45</v>
      </c>
      <c r="AL21" s="186">
        <v>4</v>
      </c>
      <c r="AM21" s="185">
        <v>184.59</v>
      </c>
      <c r="AN21" s="186">
        <v>5</v>
      </c>
      <c r="AO21" s="185">
        <v>149.66999999999999</v>
      </c>
      <c r="AP21" s="186">
        <v>4</v>
      </c>
      <c r="AQ21" s="185">
        <v>0</v>
      </c>
      <c r="AR21" s="186">
        <v>0</v>
      </c>
      <c r="AS21" s="185">
        <v>248.64</v>
      </c>
      <c r="AT21" s="186">
        <v>6</v>
      </c>
      <c r="AU21" s="188">
        <v>155.82</v>
      </c>
      <c r="AV21" s="186">
        <v>6</v>
      </c>
      <c r="AW21" s="188">
        <v>642.03</v>
      </c>
      <c r="AX21" s="186">
        <v>12</v>
      </c>
      <c r="AY21" s="185">
        <v>807.75</v>
      </c>
      <c r="AZ21" s="186">
        <v>21</v>
      </c>
      <c r="BA21" s="185">
        <v>132.38999999999999</v>
      </c>
      <c r="BB21" s="186">
        <v>4</v>
      </c>
      <c r="BC21" s="185">
        <f>+AGO!G65</f>
        <v>41.4</v>
      </c>
      <c r="BD21" s="202">
        <f>AGO!H65</f>
        <v>2</v>
      </c>
      <c r="BE21" s="204">
        <f t="shared" si="0"/>
        <v>-0.68728755948334463</v>
      </c>
      <c r="BF21" s="136"/>
      <c r="BG21" s="136"/>
      <c r="BH21" s="136"/>
    </row>
    <row r="22" spans="1:60" s="137" customFormat="1" ht="15" customHeight="1">
      <c r="A22" s="180"/>
      <c r="B22" s="206" t="s">
        <v>51</v>
      </c>
      <c r="C22" s="181">
        <f>1202886.5/1000</f>
        <v>1202.8865000000001</v>
      </c>
      <c r="D22" s="182">
        <v>57</v>
      </c>
      <c r="E22" s="181">
        <f>42500/1000</f>
        <v>42.5</v>
      </c>
      <c r="F22" s="182">
        <v>14</v>
      </c>
      <c r="G22" s="181">
        <f>67600/1000</f>
        <v>67.599999999999994</v>
      </c>
      <c r="H22" s="182">
        <v>1</v>
      </c>
      <c r="I22" s="181">
        <f>594550/1000</f>
        <v>594.54999999999995</v>
      </c>
      <c r="J22" s="182">
        <v>9</v>
      </c>
      <c r="K22" s="181">
        <v>609.23</v>
      </c>
      <c r="L22" s="182">
        <v>9</v>
      </c>
      <c r="M22" s="181">
        <v>3825.39</v>
      </c>
      <c r="N22" s="182">
        <v>46</v>
      </c>
      <c r="O22" s="183">
        <v>2907.41</v>
      </c>
      <c r="P22" s="184">
        <v>54</v>
      </c>
      <c r="Q22" s="181">
        <v>3075.71</v>
      </c>
      <c r="R22" s="182">
        <v>62</v>
      </c>
      <c r="S22" s="185">
        <v>1328.35</v>
      </c>
      <c r="T22" s="186">
        <v>21</v>
      </c>
      <c r="U22" s="185">
        <v>1646.03</v>
      </c>
      <c r="V22" s="186">
        <v>32</v>
      </c>
      <c r="W22" s="185">
        <v>1116.3</v>
      </c>
      <c r="X22" s="186">
        <v>20</v>
      </c>
      <c r="Y22" s="181">
        <v>219.39</v>
      </c>
      <c r="Z22" s="189">
        <v>5</v>
      </c>
      <c r="AA22" s="185">
        <v>1209.8399999999999</v>
      </c>
      <c r="AB22" s="186">
        <v>19</v>
      </c>
      <c r="AC22" s="185">
        <v>909.19</v>
      </c>
      <c r="AD22" s="186">
        <v>14</v>
      </c>
      <c r="AE22" s="185">
        <v>546.84</v>
      </c>
      <c r="AF22" s="186">
        <v>11</v>
      </c>
      <c r="AG22" s="185">
        <v>686.85</v>
      </c>
      <c r="AH22" s="186">
        <v>17</v>
      </c>
      <c r="AI22" s="185">
        <v>494.46</v>
      </c>
      <c r="AJ22" s="186">
        <v>8</v>
      </c>
      <c r="AK22" s="185">
        <v>101.16</v>
      </c>
      <c r="AL22" s="186">
        <v>2</v>
      </c>
      <c r="AM22" s="185">
        <v>170.22</v>
      </c>
      <c r="AN22" s="186">
        <v>6</v>
      </c>
      <c r="AO22" s="185">
        <v>112.11</v>
      </c>
      <c r="AP22" s="186">
        <v>4</v>
      </c>
      <c r="AQ22" s="185">
        <v>142.32</v>
      </c>
      <c r="AR22" s="186">
        <v>2</v>
      </c>
      <c r="AS22" s="185">
        <v>222.96</v>
      </c>
      <c r="AT22" s="186">
        <v>6</v>
      </c>
      <c r="AU22" s="188">
        <v>414.9</v>
      </c>
      <c r="AV22" s="186">
        <v>11</v>
      </c>
      <c r="AW22" s="188">
        <v>288.39</v>
      </c>
      <c r="AX22" s="186">
        <v>7</v>
      </c>
      <c r="AY22" s="185">
        <v>60.66</v>
      </c>
      <c r="AZ22" s="186">
        <v>3</v>
      </c>
      <c r="BA22" s="185">
        <v>142.59</v>
      </c>
      <c r="BB22" s="186">
        <v>3</v>
      </c>
      <c r="BC22" s="185">
        <f>+SEP!G79</f>
        <v>146.72999999999999</v>
      </c>
      <c r="BD22" s="202">
        <f>SEP!H79</f>
        <v>4</v>
      </c>
      <c r="BE22" s="204">
        <f t="shared" si="0"/>
        <v>2.9034294130023047E-2</v>
      </c>
      <c r="BF22" s="136"/>
      <c r="BG22" s="136"/>
      <c r="BH22" s="136"/>
    </row>
    <row r="23" spans="1:60" s="137" customFormat="1" ht="15" customHeight="1">
      <c r="A23" s="180"/>
      <c r="B23" s="206" t="s">
        <v>55</v>
      </c>
      <c r="C23" s="181">
        <f>773238/1000</f>
        <v>773.23800000000006</v>
      </c>
      <c r="D23" s="182">
        <v>52</v>
      </c>
      <c r="E23" s="181">
        <f>67033/1000</f>
        <v>67.033000000000001</v>
      </c>
      <c r="F23" s="182">
        <v>17</v>
      </c>
      <c r="G23" s="181">
        <f>246995/1000</f>
        <v>246.995</v>
      </c>
      <c r="H23" s="182">
        <v>4</v>
      </c>
      <c r="I23" s="181">
        <f>1053755/1000</f>
        <v>1053.7550000000001</v>
      </c>
      <c r="J23" s="182">
        <v>8</v>
      </c>
      <c r="K23" s="181">
        <v>879.77</v>
      </c>
      <c r="L23" s="182">
        <v>11</v>
      </c>
      <c r="M23" s="181">
        <v>1414.92</v>
      </c>
      <c r="N23" s="182">
        <v>20</v>
      </c>
      <c r="O23" s="183">
        <v>1519.56</v>
      </c>
      <c r="P23" s="184">
        <v>30</v>
      </c>
      <c r="Q23" s="181">
        <v>1284.75</v>
      </c>
      <c r="R23" s="182">
        <v>29</v>
      </c>
      <c r="S23" s="185">
        <v>911.88</v>
      </c>
      <c r="T23" s="186">
        <v>15</v>
      </c>
      <c r="U23" s="185">
        <v>1352.78</v>
      </c>
      <c r="V23" s="186">
        <v>23</v>
      </c>
      <c r="W23" s="185">
        <v>995.93</v>
      </c>
      <c r="X23" s="186">
        <v>16</v>
      </c>
      <c r="Y23" s="190">
        <v>817.89</v>
      </c>
      <c r="Z23" s="189">
        <v>12</v>
      </c>
      <c r="AA23" s="185">
        <v>1430.51</v>
      </c>
      <c r="AB23" s="186">
        <v>21</v>
      </c>
      <c r="AC23" s="185">
        <v>780.57</v>
      </c>
      <c r="AD23" s="186">
        <v>12</v>
      </c>
      <c r="AE23" s="185">
        <v>555.54</v>
      </c>
      <c r="AF23" s="186">
        <v>9</v>
      </c>
      <c r="AG23" s="185">
        <v>688.7</v>
      </c>
      <c r="AH23" s="186">
        <v>15</v>
      </c>
      <c r="AI23" s="185">
        <v>570.32000000000005</v>
      </c>
      <c r="AJ23" s="186">
        <v>10</v>
      </c>
      <c r="AK23" s="185">
        <v>120.39</v>
      </c>
      <c r="AL23" s="186">
        <v>3</v>
      </c>
      <c r="AM23" s="185">
        <v>25.05</v>
      </c>
      <c r="AN23" s="186">
        <v>1</v>
      </c>
      <c r="AO23" s="185">
        <v>234.39</v>
      </c>
      <c r="AP23" s="186">
        <v>8</v>
      </c>
      <c r="AQ23" s="185">
        <v>136.88999999999999</v>
      </c>
      <c r="AR23" s="186">
        <v>6</v>
      </c>
      <c r="AS23" s="185">
        <v>321</v>
      </c>
      <c r="AT23" s="186">
        <v>10</v>
      </c>
      <c r="AU23" s="188">
        <v>417.42</v>
      </c>
      <c r="AV23" s="186">
        <v>9</v>
      </c>
      <c r="AW23" s="188">
        <v>96.24</v>
      </c>
      <c r="AX23" s="186">
        <v>3</v>
      </c>
      <c r="AY23" s="185">
        <v>230.07</v>
      </c>
      <c r="AZ23" s="186">
        <v>6</v>
      </c>
      <c r="BA23" s="185">
        <v>218.52</v>
      </c>
      <c r="BB23" s="186">
        <v>4</v>
      </c>
      <c r="BC23" s="185">
        <f>+OCT!G77</f>
        <v>53.67</v>
      </c>
      <c r="BD23" s="202">
        <f>OCT!H77</f>
        <v>1</v>
      </c>
      <c r="BE23" s="204">
        <f t="shared" si="0"/>
        <v>-0.75439319055464038</v>
      </c>
      <c r="BF23" s="136"/>
      <c r="BG23" s="136"/>
      <c r="BH23" s="136"/>
    </row>
    <row r="24" spans="1:60" s="137" customFormat="1" ht="15" customHeight="1">
      <c r="A24" s="180"/>
      <c r="B24" s="206" t="s">
        <v>58</v>
      </c>
      <c r="C24" s="181">
        <f>403173/1000</f>
        <v>403.173</v>
      </c>
      <c r="D24" s="182">
        <v>42</v>
      </c>
      <c r="E24" s="181">
        <f>117684/1000</f>
        <v>117.684</v>
      </c>
      <c r="F24" s="182">
        <v>17</v>
      </c>
      <c r="G24" s="181">
        <f>182480/1000</f>
        <v>182.48</v>
      </c>
      <c r="H24" s="182">
        <v>4</v>
      </c>
      <c r="I24" s="181">
        <f>467110/1000</f>
        <v>467.11</v>
      </c>
      <c r="J24" s="182">
        <v>7</v>
      </c>
      <c r="K24" s="181">
        <v>914.94</v>
      </c>
      <c r="L24" s="182">
        <v>9</v>
      </c>
      <c r="M24" s="181">
        <v>1192.4100000000001</v>
      </c>
      <c r="N24" s="182">
        <v>18</v>
      </c>
      <c r="O24" s="183">
        <v>1217.1300000000001</v>
      </c>
      <c r="P24" s="184">
        <v>23</v>
      </c>
      <c r="Q24" s="181">
        <v>1341.78</v>
      </c>
      <c r="R24" s="182">
        <v>28</v>
      </c>
      <c r="S24" s="185">
        <v>1030.8599999999999</v>
      </c>
      <c r="T24" s="186">
        <v>18</v>
      </c>
      <c r="U24" s="185">
        <v>1107.6099999999999</v>
      </c>
      <c r="V24" s="186">
        <v>20</v>
      </c>
      <c r="W24" s="185">
        <v>703.16</v>
      </c>
      <c r="X24" s="186">
        <v>12</v>
      </c>
      <c r="Y24" s="181">
        <v>732</v>
      </c>
      <c r="Z24" s="189">
        <v>12</v>
      </c>
      <c r="AA24" s="185">
        <v>675.78</v>
      </c>
      <c r="AB24" s="191">
        <v>11</v>
      </c>
      <c r="AC24" s="185">
        <v>705.76</v>
      </c>
      <c r="AD24" s="191">
        <v>12</v>
      </c>
      <c r="AE24" s="185">
        <v>671.24</v>
      </c>
      <c r="AF24" s="191">
        <v>12</v>
      </c>
      <c r="AG24" s="185">
        <v>643.86</v>
      </c>
      <c r="AH24" s="191">
        <v>11</v>
      </c>
      <c r="AI24" s="185">
        <v>1057.02</v>
      </c>
      <c r="AJ24" s="191">
        <v>25</v>
      </c>
      <c r="AK24" s="185">
        <v>318.51</v>
      </c>
      <c r="AL24" s="191">
        <v>7</v>
      </c>
      <c r="AM24" s="185">
        <v>459.72</v>
      </c>
      <c r="AN24" s="191">
        <v>13</v>
      </c>
      <c r="AO24" s="185">
        <v>707.37</v>
      </c>
      <c r="AP24" s="191">
        <v>19</v>
      </c>
      <c r="AQ24" s="185">
        <v>475.26</v>
      </c>
      <c r="AR24" s="191">
        <v>14</v>
      </c>
      <c r="AS24" s="185">
        <v>612.54</v>
      </c>
      <c r="AT24" s="186">
        <v>17</v>
      </c>
      <c r="AU24" s="188">
        <v>225.54</v>
      </c>
      <c r="AV24" s="186">
        <v>7</v>
      </c>
      <c r="AW24" s="188">
        <v>509.25</v>
      </c>
      <c r="AX24" s="186">
        <v>12</v>
      </c>
      <c r="AY24" s="185">
        <v>368.49</v>
      </c>
      <c r="AZ24" s="186">
        <v>10</v>
      </c>
      <c r="BA24" s="185">
        <v>775.32</v>
      </c>
      <c r="BB24" s="186">
        <v>13</v>
      </c>
      <c r="BC24" s="185">
        <f>+NOV!G76</f>
        <v>173.49</v>
      </c>
      <c r="BD24" s="202">
        <f>NOV!H76</f>
        <v>3</v>
      </c>
      <c r="BE24" s="204">
        <f t="shared" si="0"/>
        <v>-0.77623432905123046</v>
      </c>
      <c r="BF24" s="136"/>
      <c r="BG24" s="136"/>
      <c r="BH24" s="136"/>
    </row>
    <row r="25" spans="1:60" s="137" customFormat="1" ht="15" customHeight="1">
      <c r="A25" s="180"/>
      <c r="B25" s="207" t="s">
        <v>60</v>
      </c>
      <c r="C25" s="192">
        <f>262296/1000</f>
        <v>262.29599999999999</v>
      </c>
      <c r="D25" s="193">
        <v>32</v>
      </c>
      <c r="E25" s="192">
        <f>96902/1000</f>
        <v>96.902000000000001</v>
      </c>
      <c r="F25" s="193">
        <v>21</v>
      </c>
      <c r="G25" s="192">
        <f>440540/1000</f>
        <v>440.54</v>
      </c>
      <c r="H25" s="193">
        <v>7</v>
      </c>
      <c r="I25" s="192">
        <f>200640/1000</f>
        <v>200.64</v>
      </c>
      <c r="J25" s="193">
        <v>4</v>
      </c>
      <c r="K25" s="192">
        <f>DIC!D51</f>
        <v>0</v>
      </c>
      <c r="L25" s="193">
        <f>DIC!F57</f>
        <v>0</v>
      </c>
      <c r="M25" s="192">
        <v>1278.31</v>
      </c>
      <c r="N25" s="193">
        <v>22</v>
      </c>
      <c r="O25" s="194">
        <v>1413.44</v>
      </c>
      <c r="P25" s="195">
        <v>23</v>
      </c>
      <c r="Q25" s="192">
        <v>1289.27</v>
      </c>
      <c r="R25" s="193">
        <v>25</v>
      </c>
      <c r="S25" s="196">
        <v>869.33</v>
      </c>
      <c r="T25" s="197">
        <v>15</v>
      </c>
      <c r="U25" s="196">
        <v>1122.83</v>
      </c>
      <c r="V25" s="197">
        <v>20</v>
      </c>
      <c r="W25" s="196">
        <v>307.83999999999997</v>
      </c>
      <c r="X25" s="197">
        <v>8</v>
      </c>
      <c r="Y25" s="192">
        <v>1112.24</v>
      </c>
      <c r="Z25" s="198">
        <v>19</v>
      </c>
      <c r="AA25" s="199">
        <v>579.66999999999996</v>
      </c>
      <c r="AB25" s="197">
        <v>11</v>
      </c>
      <c r="AC25" s="196">
        <v>697.09</v>
      </c>
      <c r="AD25" s="197">
        <v>13</v>
      </c>
      <c r="AE25" s="196">
        <v>641.41</v>
      </c>
      <c r="AF25" s="197">
        <v>12</v>
      </c>
      <c r="AG25" s="196">
        <v>680.8</v>
      </c>
      <c r="AH25" s="197">
        <v>13</v>
      </c>
      <c r="AI25" s="196">
        <v>414.5</v>
      </c>
      <c r="AJ25" s="197">
        <v>11</v>
      </c>
      <c r="AK25" s="196">
        <v>151.32</v>
      </c>
      <c r="AL25" s="197">
        <v>4</v>
      </c>
      <c r="AM25" s="196">
        <v>497.19</v>
      </c>
      <c r="AN25" s="197">
        <v>13</v>
      </c>
      <c r="AO25" s="196">
        <v>583.47</v>
      </c>
      <c r="AP25" s="197">
        <v>19</v>
      </c>
      <c r="AQ25" s="196">
        <v>398.58</v>
      </c>
      <c r="AR25" s="197">
        <v>16</v>
      </c>
      <c r="AS25" s="196">
        <v>428.13</v>
      </c>
      <c r="AT25" s="198">
        <v>13</v>
      </c>
      <c r="AU25" s="200">
        <v>905.16</v>
      </c>
      <c r="AV25" s="198">
        <v>24</v>
      </c>
      <c r="AW25" s="200">
        <v>630.75</v>
      </c>
      <c r="AX25" s="198">
        <v>16</v>
      </c>
      <c r="AY25" s="196">
        <v>245.82</v>
      </c>
      <c r="AZ25" s="201">
        <v>6</v>
      </c>
      <c r="BA25" s="196">
        <v>535.08000000000004</v>
      </c>
      <c r="BB25" s="201">
        <v>11</v>
      </c>
      <c r="BC25" s="196">
        <f>+DIC!G78</f>
        <v>59.97</v>
      </c>
      <c r="BD25" s="203">
        <f>DIC!H78</f>
        <v>1</v>
      </c>
      <c r="BE25" s="204">
        <f t="shared" si="0"/>
        <v>-0.88792330118860729</v>
      </c>
      <c r="BF25" s="136"/>
      <c r="BG25" s="136"/>
      <c r="BH25" s="136"/>
    </row>
    <row r="26" spans="1:60">
      <c r="A26" s="140"/>
      <c r="B26" s="43"/>
      <c r="C26" s="138"/>
      <c r="D26" s="139"/>
      <c r="E26" s="138"/>
      <c r="F26" s="139"/>
      <c r="G26" s="138"/>
      <c r="H26" s="139"/>
      <c r="I26" s="138"/>
      <c r="J26" s="139"/>
      <c r="K26" s="138"/>
      <c r="L26" s="139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2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205"/>
      <c r="BF26" s="135"/>
      <c r="BG26" s="135"/>
      <c r="BH26" s="135"/>
    </row>
    <row r="27" spans="1:60" s="229" customFormat="1" ht="20.100000000000001" customHeight="1">
      <c r="A27" s="221"/>
      <c r="B27" s="239" t="s">
        <v>63</v>
      </c>
      <c r="C27" s="240">
        <f>C25+C24+C23+C22+C21+C20+C18+C17+C16+C15+C14+C13</f>
        <v>5977.3102399999998</v>
      </c>
      <c r="D27" s="241">
        <f t="shared" ref="D27:L27" si="5">D25+D24+D23+D22+D21+D20+D18+D17+D16+D15+D14+D13</f>
        <v>354</v>
      </c>
      <c r="E27" s="242">
        <f t="shared" si="5"/>
        <v>3865.5149999999999</v>
      </c>
      <c r="F27" s="241">
        <f t="shared" si="5"/>
        <v>244</v>
      </c>
      <c r="G27" s="242">
        <f t="shared" si="5"/>
        <v>2678.8979999999997</v>
      </c>
      <c r="H27" s="241">
        <f t="shared" si="5"/>
        <v>116</v>
      </c>
      <c r="I27" s="242">
        <f t="shared" si="5"/>
        <v>8035.2370000000001</v>
      </c>
      <c r="J27" s="241">
        <f t="shared" si="5"/>
        <v>95</v>
      </c>
      <c r="K27" s="242">
        <f t="shared" si="5"/>
        <v>4961.4800000000005</v>
      </c>
      <c r="L27" s="241">
        <f t="shared" si="5"/>
        <v>70</v>
      </c>
      <c r="M27" s="242">
        <f t="shared" ref="M27:T27" si="6">M13+M14+M15+M16+M17+M18+M20+M21+M22+M23+M24+M25</f>
        <v>17825.250000000004</v>
      </c>
      <c r="N27" s="241">
        <f t="shared" si="6"/>
        <v>246</v>
      </c>
      <c r="O27" s="242">
        <f t="shared" si="6"/>
        <v>17818.809999999998</v>
      </c>
      <c r="P27" s="241">
        <f t="shared" si="6"/>
        <v>323</v>
      </c>
      <c r="Q27" s="242">
        <f>Q13+Q14+Q15+Q16+Q17+Q18+Q20+Q21+Q22+Q23+Q24+Q25</f>
        <v>18093.12</v>
      </c>
      <c r="R27" s="241">
        <f t="shared" si="6"/>
        <v>371</v>
      </c>
      <c r="S27" s="242">
        <f t="shared" si="6"/>
        <v>12070.68</v>
      </c>
      <c r="T27" s="241">
        <f t="shared" si="6"/>
        <v>207</v>
      </c>
      <c r="U27" s="242">
        <f t="shared" ref="U27:Z27" si="7">U13+U14+U15+U16+U17+U18+U20+U21+U22+U23+U24+U25</f>
        <v>13529.750000000002</v>
      </c>
      <c r="V27" s="241">
        <f t="shared" si="7"/>
        <v>230</v>
      </c>
      <c r="W27" s="242">
        <f t="shared" si="7"/>
        <v>9878.89</v>
      </c>
      <c r="X27" s="243">
        <f t="shared" si="7"/>
        <v>179</v>
      </c>
      <c r="Y27" s="242">
        <f t="shared" si="7"/>
        <v>8242.5700000000015</v>
      </c>
      <c r="Z27" s="241">
        <f t="shared" si="7"/>
        <v>144</v>
      </c>
      <c r="AA27" s="242">
        <f>AA13+AA14+AA15+AA16+AA17+AA18+AA20+AA21+AA22+AA23+AA24+AA25</f>
        <v>11196.960000000001</v>
      </c>
      <c r="AB27" s="241">
        <f>AB13+AB14+AB15+AB16+AB17+AB18+AB20+AB21+AB22+AB23+AB24+AB25</f>
        <v>187</v>
      </c>
      <c r="AC27" s="242">
        <v>9620.8799999999992</v>
      </c>
      <c r="AD27" s="243">
        <v>159</v>
      </c>
      <c r="AE27" s="242">
        <f t="shared" ref="AE27:AL27" si="8">AE13+AE14+AE15+AE16+AE17+AE18+AE20+AE21+AE22+AE23+AE24+AE25</f>
        <v>8643.85</v>
      </c>
      <c r="AF27" s="243">
        <f t="shared" si="8"/>
        <v>141</v>
      </c>
      <c r="AG27" s="242">
        <f t="shared" si="8"/>
        <v>7618.9299999999994</v>
      </c>
      <c r="AH27" s="243">
        <f t="shared" si="8"/>
        <v>171</v>
      </c>
      <c r="AI27" s="242">
        <f t="shared" si="8"/>
        <v>6964.68</v>
      </c>
      <c r="AJ27" s="243">
        <f t="shared" si="8"/>
        <v>134</v>
      </c>
      <c r="AK27" s="242">
        <f t="shared" si="8"/>
        <v>3235.5399999999995</v>
      </c>
      <c r="AL27" s="243">
        <f t="shared" si="8"/>
        <v>60</v>
      </c>
      <c r="AM27" s="242">
        <f t="shared" ref="AM27:AR27" si="9">AM13+AM14+AM15+AM16+AM17+AM18+AM20+AM21+AM22+AM23+AM24+AM25</f>
        <v>2683.7099999999996</v>
      </c>
      <c r="AN27" s="243">
        <f t="shared" si="9"/>
        <v>73</v>
      </c>
      <c r="AO27" s="242">
        <f t="shared" si="9"/>
        <v>3323.79</v>
      </c>
      <c r="AP27" s="243">
        <f t="shared" si="9"/>
        <v>105</v>
      </c>
      <c r="AQ27" s="242">
        <f t="shared" si="9"/>
        <v>4035.24</v>
      </c>
      <c r="AR27" s="243">
        <f t="shared" si="9"/>
        <v>125</v>
      </c>
      <c r="AS27" s="242">
        <f>+AS13+AS14+AS15+AS16+AS17+AS18+AS20+AS21+AS22+AS23+AS24+AS25</f>
        <v>5736.75</v>
      </c>
      <c r="AT27" s="243">
        <f>AT13+AT14+AT15+AT16+AT17+AT18+AT20+AT21+AT22+AT23+AT24+AT25</f>
        <v>155</v>
      </c>
      <c r="AU27" s="242">
        <f>+AU13+AU14+AU15+AU16+AU17+AU18+AU20+AU21+AU22+AU23+AU24+AU25</f>
        <v>4385.5500000000011</v>
      </c>
      <c r="AV27" s="243">
        <f>AV13+AV14+AV15+AV16+AV17+AV18+AV20+AV21+AV22+AV23+AV24+AV25</f>
        <v>134</v>
      </c>
      <c r="AW27" s="242">
        <f>+AW13+AW14+AW15+AW16+AW17+AW18+AW20+AW21+AW22+AW23+AW24+AW25</f>
        <v>5655.3</v>
      </c>
      <c r="AX27" s="243">
        <f>AX13+AX14+AX15+AX16+AX17+AX18+AX20+AX21+AX22+AX23+AX24+AX25</f>
        <v>163</v>
      </c>
      <c r="AY27" s="242">
        <f>+AY13+AY14+AY15+AY16+AY17+AY18+AY20+AY21+AY22+AY23+AY24+AY25</f>
        <v>4316.6099999999997</v>
      </c>
      <c r="AZ27" s="243">
        <f>AZ13+AZ14+AZ15+AZ16+AZ17+AZ18+AZ20+AZ21+AZ22+AZ23+AZ24+AZ25</f>
        <v>123</v>
      </c>
      <c r="BA27" s="242">
        <f>+BA13+BA14+BA15+BA16+BA17+BA18+BA20+BA21+BA22+BA23+BA24+BA25</f>
        <v>2737.5299999999997</v>
      </c>
      <c r="BB27" s="243">
        <f>BB13+BB14+BB15+BB16+BB17+BB18+BB20+BB21+BB22+BB23+BB24+BB25</f>
        <v>66</v>
      </c>
      <c r="BC27" s="242">
        <f>+BC13+BC14+BC15+BC16+BC17+BC18+BC20+BC21+BC22+BC23+BC24+BC25</f>
        <v>1210.92</v>
      </c>
      <c r="BD27" s="243">
        <f>BD13+BD14+BD15+BD16+BD17+BD18+BD20+BD21+BD22+BD23+BD24+BD25</f>
        <v>25</v>
      </c>
      <c r="BE27" s="298">
        <f>(BC27-BA27)/BA27</f>
        <v>-0.55765964208611407</v>
      </c>
      <c r="BF27" s="228"/>
      <c r="BG27" s="228"/>
      <c r="BH27" s="228"/>
    </row>
    <row r="28" spans="1:60">
      <c r="A28" s="83"/>
      <c r="B28" s="143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5"/>
      <c r="N28" s="146"/>
      <c r="O28" s="146"/>
      <c r="P28" s="146"/>
      <c r="Q28" s="145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35"/>
      <c r="BF28" s="135"/>
      <c r="BG28" s="135"/>
      <c r="BH28" s="135"/>
    </row>
    <row r="29" spans="1:60" s="229" customFormat="1" ht="20.100000000000001" customHeight="1">
      <c r="A29" s="221"/>
      <c r="B29" s="244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6"/>
      <c r="N29" s="247"/>
      <c r="O29" s="247"/>
      <c r="P29" s="248"/>
      <c r="Q29" s="249" t="s">
        <v>64</v>
      </c>
      <c r="R29" s="250">
        <f>SUM(R27:R28)</f>
        <v>371</v>
      </c>
      <c r="S29" s="250"/>
      <c r="T29" s="250">
        <f>SUM(T27:T28)</f>
        <v>207</v>
      </c>
      <c r="U29" s="250"/>
      <c r="V29" s="250">
        <f>SUM(V27:V28)</f>
        <v>230</v>
      </c>
      <c r="W29" s="250"/>
      <c r="X29" s="250">
        <f>SUM(X27:X28)</f>
        <v>179</v>
      </c>
      <c r="Y29" s="250"/>
      <c r="Z29" s="250">
        <f>SUM(Z27:Z28)</f>
        <v>144</v>
      </c>
      <c r="AA29" s="250"/>
      <c r="AB29" s="250">
        <f>AB27</f>
        <v>187</v>
      </c>
      <c r="AC29" s="250"/>
      <c r="AD29" s="250">
        <v>159</v>
      </c>
      <c r="AE29" s="250"/>
      <c r="AF29" s="250">
        <f>AF27</f>
        <v>141</v>
      </c>
      <c r="AG29" s="250"/>
      <c r="AH29" s="250">
        <f>AH27</f>
        <v>171</v>
      </c>
      <c r="AI29" s="250"/>
      <c r="AJ29" s="250">
        <f>AJ27</f>
        <v>134</v>
      </c>
      <c r="AK29" s="250"/>
      <c r="AL29" s="250">
        <f>AL27</f>
        <v>60</v>
      </c>
      <c r="AM29" s="250"/>
      <c r="AN29" s="250">
        <f>AN27</f>
        <v>73</v>
      </c>
      <c r="AO29" s="250"/>
      <c r="AP29" s="250">
        <f>AP27</f>
        <v>105</v>
      </c>
      <c r="AQ29" s="250"/>
      <c r="AR29" s="250">
        <f>AR27</f>
        <v>125</v>
      </c>
      <c r="AS29" s="250"/>
      <c r="AT29" s="250">
        <f>AT27</f>
        <v>155</v>
      </c>
      <c r="AU29" s="250"/>
      <c r="AV29" s="250">
        <f>AV27</f>
        <v>134</v>
      </c>
      <c r="AW29" s="250"/>
      <c r="AX29" s="250">
        <f>AX27</f>
        <v>163</v>
      </c>
      <c r="AY29" s="250"/>
      <c r="AZ29" s="250">
        <f>AZ27</f>
        <v>123</v>
      </c>
      <c r="BA29" s="250"/>
      <c r="BB29" s="250">
        <f>BB27</f>
        <v>66</v>
      </c>
      <c r="BC29" s="250"/>
      <c r="BD29" s="250">
        <f>BD27</f>
        <v>25</v>
      </c>
      <c r="BE29" s="228"/>
      <c r="BF29" s="228"/>
      <c r="BG29" s="228"/>
      <c r="BH29" s="228"/>
    </row>
    <row r="30" spans="1:60">
      <c r="A30" s="83"/>
      <c r="D30" s="143"/>
      <c r="E30" s="147"/>
      <c r="F30" s="147"/>
      <c r="G30" s="143"/>
      <c r="H30" s="143"/>
      <c r="I30" s="143"/>
      <c r="J30" s="143"/>
      <c r="K30" s="143"/>
      <c r="L30" s="143"/>
      <c r="M30" s="148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135"/>
      <c r="BF30" s="135"/>
      <c r="BG30" s="135"/>
      <c r="BH30" s="135"/>
    </row>
    <row r="31" spans="1:60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135"/>
      <c r="BF31" s="135"/>
      <c r="BG31" s="135"/>
      <c r="BH31" s="135"/>
    </row>
    <row r="32" spans="1:60" ht="20.25">
      <c r="A32" s="43"/>
      <c r="B32" s="43"/>
      <c r="C32" s="43"/>
      <c r="D32" s="43"/>
      <c r="E32" s="359" t="s">
        <v>65</v>
      </c>
      <c r="F32" s="360"/>
      <c r="G32" s="360"/>
      <c r="H32" s="360"/>
      <c r="I32" s="360"/>
      <c r="J32" s="360"/>
      <c r="K32" s="360"/>
      <c r="L32" s="360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135"/>
      <c r="BF32" s="135"/>
      <c r="BG32" s="135"/>
      <c r="BH32" s="135"/>
    </row>
    <row r="33" spans="1:60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251" t="s">
        <v>25</v>
      </c>
      <c r="BB33" s="251" t="s">
        <v>66</v>
      </c>
      <c r="BC33" s="43"/>
      <c r="BD33" s="43"/>
      <c r="BE33" s="135"/>
      <c r="BF33" s="135"/>
      <c r="BG33" s="135"/>
      <c r="BH33" s="135"/>
    </row>
    <row r="34" spans="1:60" s="137" customFormat="1" ht="15" customHeight="1">
      <c r="A34" s="217"/>
      <c r="B34" s="218"/>
      <c r="C34" s="348" t="s">
        <v>67</v>
      </c>
      <c r="D34" s="348"/>
      <c r="E34" s="348"/>
      <c r="F34" s="348"/>
      <c r="G34" s="348" t="s">
        <v>68</v>
      </c>
      <c r="H34" s="348"/>
      <c r="I34" s="348"/>
      <c r="J34" s="348"/>
      <c r="K34" s="348" t="s">
        <v>69</v>
      </c>
      <c r="L34" s="348"/>
      <c r="M34" s="348"/>
      <c r="N34" s="348"/>
      <c r="O34" s="348" t="s">
        <v>70</v>
      </c>
      <c r="P34" s="348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52">
        <v>1986</v>
      </c>
      <c r="BB34" s="253">
        <v>1211.4000000000001</v>
      </c>
      <c r="BC34" s="217"/>
      <c r="BD34" s="217"/>
      <c r="BG34" s="136"/>
      <c r="BH34" s="136"/>
    </row>
    <row r="35" spans="1:60" ht="15" customHeight="1">
      <c r="A35" s="43"/>
      <c r="B35" s="149"/>
      <c r="C35" s="349" t="s">
        <v>71</v>
      </c>
      <c r="D35" s="349" t="s">
        <v>45</v>
      </c>
      <c r="E35" s="349" t="s">
        <v>72</v>
      </c>
      <c r="F35" s="349" t="s">
        <v>73</v>
      </c>
      <c r="G35" s="349" t="s">
        <v>71</v>
      </c>
      <c r="H35" s="349" t="s">
        <v>45</v>
      </c>
      <c r="I35" s="349" t="s">
        <v>72</v>
      </c>
      <c r="J35" s="349" t="s">
        <v>73</v>
      </c>
      <c r="K35" s="349" t="s">
        <v>71</v>
      </c>
      <c r="L35" s="349" t="s">
        <v>45</v>
      </c>
      <c r="M35" s="349" t="s">
        <v>72</v>
      </c>
      <c r="N35" s="349" t="s">
        <v>73</v>
      </c>
      <c r="O35" s="349" t="s">
        <v>71</v>
      </c>
      <c r="P35" s="349" t="s">
        <v>45</v>
      </c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353"/>
      <c r="AK35" s="353"/>
      <c r="AL35" s="353"/>
      <c r="AM35" s="353"/>
      <c r="AN35" s="353"/>
      <c r="AO35" s="353"/>
      <c r="AP35" s="35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254">
        <v>1987</v>
      </c>
      <c r="BB35" s="255">
        <v>2100</v>
      </c>
      <c r="BC35" s="43"/>
      <c r="BD35" s="43"/>
      <c r="BG35" s="135"/>
      <c r="BH35" s="135"/>
    </row>
    <row r="36" spans="1:60" ht="19.5" customHeight="1">
      <c r="A36" s="43"/>
      <c r="B36" s="208" t="s">
        <v>28</v>
      </c>
      <c r="C36" s="350"/>
      <c r="D36" s="350"/>
      <c r="E36" s="350"/>
      <c r="F36" s="350"/>
      <c r="G36" s="350"/>
      <c r="H36" s="350"/>
      <c r="I36" s="350"/>
      <c r="J36" s="350"/>
      <c r="K36" s="350"/>
      <c r="L36" s="350"/>
      <c r="M36" s="350"/>
      <c r="N36" s="350"/>
      <c r="O36" s="350"/>
      <c r="P36" s="350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353"/>
      <c r="AK36" s="353"/>
      <c r="AL36" s="353"/>
      <c r="AM36" s="353"/>
      <c r="AN36" s="353"/>
      <c r="AO36" s="353"/>
      <c r="AP36" s="35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254">
        <v>1988</v>
      </c>
      <c r="BB36" s="255">
        <v>117</v>
      </c>
      <c r="BC36" s="43"/>
      <c r="BD36" s="43"/>
      <c r="BG36" s="135"/>
      <c r="BH36" s="135"/>
    </row>
    <row r="37" spans="1:60" ht="15.75">
      <c r="A37" s="43"/>
      <c r="B37" s="209"/>
      <c r="C37" s="143"/>
      <c r="D37" s="151"/>
      <c r="E37" s="143"/>
      <c r="F37" s="151"/>
      <c r="G37" s="143"/>
      <c r="H37" s="151"/>
      <c r="I37" s="143"/>
      <c r="J37" s="151"/>
      <c r="K37" s="143"/>
      <c r="L37" s="151"/>
      <c r="M37" s="143"/>
      <c r="N37" s="151"/>
      <c r="O37" s="143"/>
      <c r="P37" s="151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150"/>
      <c r="AK37" s="100"/>
      <c r="AL37" s="150"/>
      <c r="AM37" s="150"/>
      <c r="AN37" s="150"/>
      <c r="AO37" s="150"/>
      <c r="AP37" s="150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254">
        <v>1989</v>
      </c>
      <c r="BB37" s="255">
        <v>21</v>
      </c>
      <c r="BC37" s="43"/>
      <c r="BD37" s="43"/>
      <c r="BG37" s="135"/>
      <c r="BH37" s="135"/>
    </row>
    <row r="38" spans="1:60" ht="15" customHeight="1">
      <c r="A38" s="43"/>
      <c r="B38" s="219" t="s">
        <v>31</v>
      </c>
      <c r="C38" s="211">
        <v>0</v>
      </c>
      <c r="D38" s="101">
        <v>123390</v>
      </c>
      <c r="E38" s="211">
        <v>0</v>
      </c>
      <c r="F38" s="101">
        <v>0</v>
      </c>
      <c r="G38" s="211">
        <f>ENE!F59</f>
        <v>0</v>
      </c>
      <c r="H38" s="101">
        <f>ENE!F44</f>
        <v>417870</v>
      </c>
      <c r="I38" s="211">
        <v>0</v>
      </c>
      <c r="J38" s="101">
        <v>0</v>
      </c>
      <c r="K38" s="212" t="e">
        <f t="shared" ref="K38:L49" si="10">+(G38-C38)/C38</f>
        <v>#DIV/0!</v>
      </c>
      <c r="L38" s="213">
        <f>+(H38-D38)/D38</f>
        <v>2.3865791393143692</v>
      </c>
      <c r="M38" s="212">
        <v>0</v>
      </c>
      <c r="N38" s="213">
        <v>0</v>
      </c>
      <c r="O38" s="211">
        <f>G38</f>
        <v>0</v>
      </c>
      <c r="P38" s="101">
        <f>H38</f>
        <v>417870</v>
      </c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254">
        <v>1990</v>
      </c>
      <c r="BB38" s="255">
        <v>552</v>
      </c>
      <c r="BC38" s="43"/>
      <c r="BD38" s="43"/>
      <c r="BG38" s="135"/>
      <c r="BH38" s="135"/>
    </row>
    <row r="39" spans="1:60" ht="15" customHeight="1">
      <c r="A39" s="43"/>
      <c r="B39" s="219" t="s">
        <v>33</v>
      </c>
      <c r="C39" s="211">
        <v>0</v>
      </c>
      <c r="D39" s="101">
        <v>176790</v>
      </c>
      <c r="E39" s="211">
        <v>0</v>
      </c>
      <c r="F39" s="101">
        <v>0</v>
      </c>
      <c r="G39" s="211">
        <f>FEB!F62</f>
        <v>0</v>
      </c>
      <c r="H39" s="101">
        <f>FEB!$F$46</f>
        <v>127800</v>
      </c>
      <c r="I39" s="211">
        <v>0</v>
      </c>
      <c r="J39" s="101">
        <v>0</v>
      </c>
      <c r="K39" s="212" t="e">
        <f t="shared" si="10"/>
        <v>#DIV/0!</v>
      </c>
      <c r="L39" s="213">
        <f t="shared" si="10"/>
        <v>-0.27710843373493976</v>
      </c>
      <c r="M39" s="212">
        <v>0</v>
      </c>
      <c r="N39" s="213">
        <v>0</v>
      </c>
      <c r="O39" s="211">
        <f t="shared" ref="O39:O49" si="11">O38+G39</f>
        <v>0</v>
      </c>
      <c r="P39" s="101">
        <f t="shared" ref="P39:P49" si="12">P38+H39</f>
        <v>545670</v>
      </c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254">
        <v>1991</v>
      </c>
      <c r="BB39" s="255">
        <v>0</v>
      </c>
      <c r="BC39" s="43"/>
      <c r="BD39" s="43"/>
      <c r="BG39" s="135"/>
      <c r="BH39" s="135"/>
    </row>
    <row r="40" spans="1:60" ht="15" customHeight="1">
      <c r="A40" s="43"/>
      <c r="B40" s="219" t="s">
        <v>35</v>
      </c>
      <c r="C40" s="211">
        <v>0</v>
      </c>
      <c r="D40" s="101">
        <v>370560</v>
      </c>
      <c r="E40" s="211">
        <v>0</v>
      </c>
      <c r="F40" s="101">
        <v>0</v>
      </c>
      <c r="G40" s="211">
        <f>MAR!F54</f>
        <v>0</v>
      </c>
      <c r="H40" s="101">
        <f>MAR!$F$41</f>
        <v>78060</v>
      </c>
      <c r="I40" s="211">
        <v>0</v>
      </c>
      <c r="J40" s="101">
        <v>0</v>
      </c>
      <c r="K40" s="212" t="e">
        <f t="shared" si="10"/>
        <v>#DIV/0!</v>
      </c>
      <c r="L40" s="213">
        <f t="shared" si="10"/>
        <v>-0.78934585492227982</v>
      </c>
      <c r="M40" s="212">
        <v>0</v>
      </c>
      <c r="N40" s="213">
        <v>0</v>
      </c>
      <c r="O40" s="211">
        <f t="shared" si="11"/>
        <v>0</v>
      </c>
      <c r="P40" s="101">
        <f t="shared" si="12"/>
        <v>623730</v>
      </c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254">
        <v>1992</v>
      </c>
      <c r="BB40" s="255">
        <v>773</v>
      </c>
      <c r="BC40" s="43"/>
      <c r="BD40" s="43"/>
      <c r="BG40" s="135"/>
      <c r="BH40" s="135"/>
    </row>
    <row r="41" spans="1:60" ht="15" customHeight="1">
      <c r="A41" s="43"/>
      <c r="B41" s="219" t="s">
        <v>37</v>
      </c>
      <c r="C41" s="211">
        <v>0</v>
      </c>
      <c r="D41" s="101">
        <v>201990</v>
      </c>
      <c r="E41" s="211">
        <v>0</v>
      </c>
      <c r="F41" s="101">
        <v>0</v>
      </c>
      <c r="G41" s="211">
        <f>ABR!F54</f>
        <v>0</v>
      </c>
      <c r="H41" s="101">
        <f>ABR!$F$39</f>
        <v>0</v>
      </c>
      <c r="I41" s="211">
        <v>0</v>
      </c>
      <c r="J41" s="101">
        <v>0</v>
      </c>
      <c r="K41" s="212" t="e">
        <f t="shared" si="10"/>
        <v>#DIV/0!</v>
      </c>
      <c r="L41" s="213">
        <f t="shared" si="10"/>
        <v>-1</v>
      </c>
      <c r="M41" s="212">
        <v>0</v>
      </c>
      <c r="N41" s="213">
        <v>0</v>
      </c>
      <c r="O41" s="211">
        <f t="shared" si="11"/>
        <v>0</v>
      </c>
      <c r="P41" s="101">
        <f t="shared" si="12"/>
        <v>623730</v>
      </c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254">
        <v>1993</v>
      </c>
      <c r="BB41" s="255">
        <v>1113.83</v>
      </c>
      <c r="BC41" s="43"/>
      <c r="BD41" s="43"/>
      <c r="BG41" s="135"/>
      <c r="BH41" s="135"/>
    </row>
    <row r="42" spans="1:60" ht="15" customHeight="1">
      <c r="A42" s="43"/>
      <c r="B42" s="219" t="s">
        <v>39</v>
      </c>
      <c r="C42" s="211">
        <v>0</v>
      </c>
      <c r="D42" s="101">
        <v>60900</v>
      </c>
      <c r="E42" s="211">
        <v>0</v>
      </c>
      <c r="F42" s="101">
        <v>0</v>
      </c>
      <c r="G42" s="211">
        <f>MAY!F55</f>
        <v>0</v>
      </c>
      <c r="H42" s="101">
        <f>MAY!F42</f>
        <v>0</v>
      </c>
      <c r="I42" s="211">
        <v>0</v>
      </c>
      <c r="J42" s="101">
        <v>0</v>
      </c>
      <c r="K42" s="212" t="e">
        <f t="shared" si="10"/>
        <v>#DIV/0!</v>
      </c>
      <c r="L42" s="213">
        <f t="shared" si="10"/>
        <v>-1</v>
      </c>
      <c r="M42" s="212">
        <v>0</v>
      </c>
      <c r="N42" s="213">
        <v>0</v>
      </c>
      <c r="O42" s="211">
        <f t="shared" si="11"/>
        <v>0</v>
      </c>
      <c r="P42" s="101">
        <f t="shared" si="12"/>
        <v>623730</v>
      </c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254">
        <v>1994</v>
      </c>
      <c r="BB42" s="255">
        <v>15787</v>
      </c>
      <c r="BC42" s="43"/>
      <c r="BD42" s="43"/>
      <c r="BG42" s="135"/>
      <c r="BH42" s="135"/>
    </row>
    <row r="43" spans="1:60" ht="15" customHeight="1">
      <c r="A43" s="43"/>
      <c r="B43" s="219" t="s">
        <v>41</v>
      </c>
      <c r="C43" s="211">
        <v>0</v>
      </c>
      <c r="D43" s="101">
        <v>0</v>
      </c>
      <c r="E43" s="211">
        <v>0</v>
      </c>
      <c r="F43" s="101">
        <v>0</v>
      </c>
      <c r="G43" s="211">
        <f>JUN!$G$47</f>
        <v>0</v>
      </c>
      <c r="H43" s="101">
        <f>JUN!F31</f>
        <v>32460</v>
      </c>
      <c r="I43" s="211">
        <v>0</v>
      </c>
      <c r="J43" s="101">
        <v>0</v>
      </c>
      <c r="K43" s="212" t="e">
        <f t="shared" si="10"/>
        <v>#DIV/0!</v>
      </c>
      <c r="L43" s="213" t="e">
        <f t="shared" si="10"/>
        <v>#DIV/0!</v>
      </c>
      <c r="M43" s="212">
        <v>0</v>
      </c>
      <c r="N43" s="213">
        <v>0</v>
      </c>
      <c r="O43" s="211">
        <f t="shared" si="11"/>
        <v>0</v>
      </c>
      <c r="P43" s="101">
        <f t="shared" si="12"/>
        <v>656190</v>
      </c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254">
        <v>1995</v>
      </c>
      <c r="BB43" s="255">
        <v>23805</v>
      </c>
      <c r="BC43" s="43"/>
      <c r="BD43" s="43"/>
      <c r="BG43" s="135"/>
      <c r="BH43" s="135"/>
    </row>
    <row r="44" spans="1:60" ht="15" customHeight="1">
      <c r="A44" s="43"/>
      <c r="B44" s="219" t="s">
        <v>47</v>
      </c>
      <c r="C44" s="211">
        <v>0</v>
      </c>
      <c r="D44" s="101">
        <v>0</v>
      </c>
      <c r="E44" s="211">
        <v>0</v>
      </c>
      <c r="F44" s="101">
        <v>0</v>
      </c>
      <c r="G44" s="211">
        <f>JUL!G46</f>
        <v>0</v>
      </c>
      <c r="H44" s="101">
        <f>JUL!F31</f>
        <v>79470</v>
      </c>
      <c r="I44" s="211">
        <v>0</v>
      </c>
      <c r="J44" s="101">
        <v>0</v>
      </c>
      <c r="K44" s="212" t="e">
        <f t="shared" si="10"/>
        <v>#DIV/0!</v>
      </c>
      <c r="L44" s="213" t="e">
        <f t="shared" si="10"/>
        <v>#DIV/0!</v>
      </c>
      <c r="M44" s="212">
        <v>0</v>
      </c>
      <c r="N44" s="213">
        <v>0</v>
      </c>
      <c r="O44" s="211">
        <f t="shared" si="11"/>
        <v>0</v>
      </c>
      <c r="P44" s="101">
        <f t="shared" si="12"/>
        <v>735660</v>
      </c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254">
        <v>1996</v>
      </c>
      <c r="BB44" s="255">
        <v>14055</v>
      </c>
      <c r="BC44" s="43"/>
      <c r="BD44" s="43"/>
      <c r="BG44" s="135"/>
      <c r="BH44" s="135"/>
    </row>
    <row r="45" spans="1:60" ht="15" customHeight="1">
      <c r="A45" s="43"/>
      <c r="B45" s="219" t="s">
        <v>49</v>
      </c>
      <c r="C45" s="211">
        <v>0</v>
      </c>
      <c r="D45" s="101">
        <v>132390</v>
      </c>
      <c r="E45" s="211">
        <v>0</v>
      </c>
      <c r="F45" s="101">
        <v>0</v>
      </c>
      <c r="G45" s="211">
        <f>AGO!G50</f>
        <v>0</v>
      </c>
      <c r="H45" s="101">
        <f>AGO!F34</f>
        <v>41400</v>
      </c>
      <c r="I45" s="211">
        <v>0</v>
      </c>
      <c r="J45" s="101">
        <v>0</v>
      </c>
      <c r="K45" s="212" t="e">
        <f t="shared" si="10"/>
        <v>#DIV/0!</v>
      </c>
      <c r="L45" s="213">
        <f t="shared" si="10"/>
        <v>-0.68728755948334463</v>
      </c>
      <c r="M45" s="212">
        <v>0</v>
      </c>
      <c r="N45" s="213">
        <v>0</v>
      </c>
      <c r="O45" s="211">
        <f t="shared" si="11"/>
        <v>0</v>
      </c>
      <c r="P45" s="101">
        <f t="shared" si="12"/>
        <v>777060</v>
      </c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254">
        <v>1997</v>
      </c>
      <c r="BB45" s="255">
        <v>11659</v>
      </c>
      <c r="BC45" s="43"/>
      <c r="BD45" s="43"/>
      <c r="BG45" s="135"/>
      <c r="BH45" s="135"/>
    </row>
    <row r="46" spans="1:60" ht="15" customHeight="1">
      <c r="A46" s="43"/>
      <c r="B46" s="219" t="s">
        <v>51</v>
      </c>
      <c r="C46" s="211">
        <v>0</v>
      </c>
      <c r="D46" s="101">
        <v>142590</v>
      </c>
      <c r="E46" s="211">
        <v>0</v>
      </c>
      <c r="F46" s="101">
        <v>0</v>
      </c>
      <c r="G46" s="211">
        <f>SEP!G58</f>
        <v>0</v>
      </c>
      <c r="H46" s="101">
        <f>SEP!$F$41</f>
        <v>146730</v>
      </c>
      <c r="I46" s="211">
        <v>0</v>
      </c>
      <c r="J46" s="101">
        <v>0</v>
      </c>
      <c r="K46" s="212" t="e">
        <f t="shared" si="10"/>
        <v>#DIV/0!</v>
      </c>
      <c r="L46" s="213">
        <f t="shared" si="10"/>
        <v>2.9034294130023144E-2</v>
      </c>
      <c r="M46" s="212">
        <v>0</v>
      </c>
      <c r="N46" s="213">
        <v>0</v>
      </c>
      <c r="O46" s="211">
        <f t="shared" si="11"/>
        <v>0</v>
      </c>
      <c r="P46" s="101">
        <f t="shared" si="12"/>
        <v>923790</v>
      </c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255">
        <f>+C11</f>
        <v>1998</v>
      </c>
      <c r="BB46" s="256">
        <f>+C27</f>
        <v>5977.3102399999998</v>
      </c>
      <c r="BC46" s="43"/>
      <c r="BD46" s="43"/>
      <c r="BG46" s="135"/>
      <c r="BH46" s="135"/>
    </row>
    <row r="47" spans="1:60" ht="15" customHeight="1">
      <c r="A47" s="43"/>
      <c r="B47" s="219" t="s">
        <v>55</v>
      </c>
      <c r="C47" s="211">
        <v>0</v>
      </c>
      <c r="D47" s="101">
        <v>218520</v>
      </c>
      <c r="E47" s="211">
        <v>0</v>
      </c>
      <c r="F47" s="101">
        <v>0</v>
      </c>
      <c r="G47" s="211">
        <f>OCT!F54</f>
        <v>0</v>
      </c>
      <c r="H47" s="101">
        <f>OCT!$F$37</f>
        <v>53670</v>
      </c>
      <c r="I47" s="211">
        <v>0</v>
      </c>
      <c r="J47" s="101">
        <v>0</v>
      </c>
      <c r="K47" s="212" t="e">
        <f t="shared" si="10"/>
        <v>#DIV/0!</v>
      </c>
      <c r="L47" s="213">
        <f t="shared" si="10"/>
        <v>-0.75439319055464027</v>
      </c>
      <c r="M47" s="212">
        <v>0</v>
      </c>
      <c r="N47" s="213">
        <v>0</v>
      </c>
      <c r="O47" s="211">
        <f t="shared" si="11"/>
        <v>0</v>
      </c>
      <c r="P47" s="101">
        <f t="shared" si="12"/>
        <v>977460</v>
      </c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255">
        <f>+E11</f>
        <v>1999</v>
      </c>
      <c r="BB47" s="256">
        <f>+E27</f>
        <v>3865.5149999999999</v>
      </c>
      <c r="BC47" s="43"/>
      <c r="BD47" s="43"/>
      <c r="BG47" s="135"/>
      <c r="BH47" s="135"/>
    </row>
    <row r="48" spans="1:60" ht="15" customHeight="1">
      <c r="A48" s="43"/>
      <c r="B48" s="219" t="s">
        <v>58</v>
      </c>
      <c r="C48" s="211">
        <v>0</v>
      </c>
      <c r="D48" s="101">
        <v>775320</v>
      </c>
      <c r="E48" s="211">
        <v>0</v>
      </c>
      <c r="F48" s="101">
        <v>0</v>
      </c>
      <c r="G48" s="211">
        <f>NOV!F56</f>
        <v>0</v>
      </c>
      <c r="H48" s="101">
        <f>NOV!$F$39</f>
        <v>173490</v>
      </c>
      <c r="I48" s="211">
        <v>0</v>
      </c>
      <c r="J48" s="101">
        <v>0</v>
      </c>
      <c r="K48" s="212" t="e">
        <f t="shared" si="10"/>
        <v>#DIV/0!</v>
      </c>
      <c r="L48" s="213">
        <f t="shared" si="10"/>
        <v>-0.77623432905123046</v>
      </c>
      <c r="M48" s="212">
        <v>0</v>
      </c>
      <c r="N48" s="213">
        <v>0</v>
      </c>
      <c r="O48" s="211">
        <f t="shared" si="11"/>
        <v>0</v>
      </c>
      <c r="P48" s="101">
        <f t="shared" si="12"/>
        <v>1150950</v>
      </c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255">
        <f>+G11</f>
        <v>2000</v>
      </c>
      <c r="BB48" s="256">
        <f>+G27</f>
        <v>2678.8979999999997</v>
      </c>
      <c r="BC48" s="43"/>
      <c r="BD48" s="43"/>
      <c r="BG48" s="135"/>
      <c r="BH48" s="135"/>
    </row>
    <row r="49" spans="1:60" ht="15" customHeight="1">
      <c r="A49" s="43"/>
      <c r="B49" s="220" t="s">
        <v>60</v>
      </c>
      <c r="C49" s="214">
        <v>0</v>
      </c>
      <c r="D49" s="102">
        <v>535080</v>
      </c>
      <c r="E49" s="214">
        <v>0</v>
      </c>
      <c r="F49" s="102">
        <v>0</v>
      </c>
      <c r="G49" s="214">
        <f>DIC!F55</f>
        <v>0</v>
      </c>
      <c r="H49" s="102">
        <f>DIC!$F$39</f>
        <v>59970</v>
      </c>
      <c r="I49" s="214">
        <v>0</v>
      </c>
      <c r="J49" s="102">
        <v>0</v>
      </c>
      <c r="K49" s="215" t="e">
        <f t="shared" si="10"/>
        <v>#DIV/0!</v>
      </c>
      <c r="L49" s="216">
        <f t="shared" si="10"/>
        <v>-0.88792330118860729</v>
      </c>
      <c r="M49" s="215">
        <v>0</v>
      </c>
      <c r="N49" s="216">
        <v>0</v>
      </c>
      <c r="O49" s="214">
        <f t="shared" si="11"/>
        <v>0</v>
      </c>
      <c r="P49" s="102">
        <f t="shared" si="12"/>
        <v>1210920</v>
      </c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255">
        <f>+I11</f>
        <v>2001</v>
      </c>
      <c r="BB49" s="256">
        <f>+I27</f>
        <v>8035.2370000000001</v>
      </c>
      <c r="BC49" s="43"/>
      <c r="BD49" s="43"/>
      <c r="BG49" s="135"/>
      <c r="BH49" s="135"/>
    </row>
    <row r="50" spans="1:60">
      <c r="A50" s="43"/>
      <c r="B50" s="210"/>
      <c r="C50" s="152"/>
      <c r="D50" s="152"/>
      <c r="E50" s="152"/>
      <c r="F50" s="152"/>
      <c r="G50" s="152"/>
      <c r="H50" s="152"/>
      <c r="I50" s="152"/>
      <c r="J50" s="152"/>
      <c r="K50" s="212"/>
      <c r="L50" s="43"/>
      <c r="M50" s="43"/>
      <c r="N50" s="43"/>
      <c r="O50" s="152"/>
      <c r="P50" s="152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255">
        <f>+K11</f>
        <v>2002</v>
      </c>
      <c r="BB50" s="256">
        <f>+K27</f>
        <v>4961.4800000000005</v>
      </c>
      <c r="BC50" s="43"/>
      <c r="BD50" s="43"/>
      <c r="BG50" s="135"/>
      <c r="BH50" s="135"/>
    </row>
    <row r="51" spans="1:60" s="229" customFormat="1" ht="20.100000000000001" customHeight="1">
      <c r="A51" s="261"/>
      <c r="B51" s="262" t="s">
        <v>43</v>
      </c>
      <c r="C51" s="263">
        <f>SUM(C38:C49)</f>
        <v>0</v>
      </c>
      <c r="D51" s="263">
        <f>SUM(D38:D49)</f>
        <v>2737530</v>
      </c>
      <c r="E51" s="263">
        <f t="shared" ref="E51:J51" si="13">SUM(E38:E49)</f>
        <v>0</v>
      </c>
      <c r="F51" s="263">
        <f t="shared" si="13"/>
        <v>0</v>
      </c>
      <c r="G51" s="263">
        <f>SUM(G38:G49)</f>
        <v>0</v>
      </c>
      <c r="H51" s="263">
        <f>SUM(H38:H49)</f>
        <v>1210920</v>
      </c>
      <c r="I51" s="263">
        <f t="shared" si="13"/>
        <v>0</v>
      </c>
      <c r="J51" s="263">
        <f t="shared" si="13"/>
        <v>0</v>
      </c>
      <c r="K51" s="264" t="e">
        <f>+(G51-C51)/C51</f>
        <v>#DIV/0!</v>
      </c>
      <c r="L51" s="264">
        <f>+(H51-D51)/D51</f>
        <v>-0.55765964208611407</v>
      </c>
      <c r="M51" s="264">
        <v>0</v>
      </c>
      <c r="N51" s="264">
        <v>0</v>
      </c>
      <c r="O51" s="263">
        <f>O49</f>
        <v>0</v>
      </c>
      <c r="P51" s="263">
        <f>P49</f>
        <v>1210920</v>
      </c>
      <c r="Q51" s="261"/>
      <c r="R51" s="261"/>
      <c r="S51" s="261"/>
      <c r="T51" s="261"/>
      <c r="U51" s="261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261"/>
      <c r="AJ51" s="261"/>
      <c r="AK51" s="261"/>
      <c r="AL51" s="261"/>
      <c r="AM51" s="261"/>
      <c r="AN51" s="261"/>
      <c r="AO51" s="261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53">
        <f>+M11</f>
        <v>2003</v>
      </c>
      <c r="BB51" s="265">
        <f>+M27</f>
        <v>17825.250000000004</v>
      </c>
      <c r="BC51" s="261"/>
      <c r="BD51" s="261"/>
      <c r="BG51" s="228"/>
      <c r="BH51" s="228"/>
    </row>
    <row r="52" spans="1:60">
      <c r="A52" s="43"/>
      <c r="B52" s="143"/>
      <c r="C52" s="143"/>
      <c r="D52" s="152"/>
      <c r="E52" s="152"/>
      <c r="F52" s="152"/>
      <c r="G52" s="152"/>
      <c r="H52" s="152"/>
      <c r="I52" s="152"/>
      <c r="J52" s="152"/>
      <c r="K52" s="152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255">
        <f>+O11</f>
        <v>2004</v>
      </c>
      <c r="BB52" s="256">
        <f>+O27</f>
        <v>17818.809999999998</v>
      </c>
      <c r="BC52" s="43"/>
      <c r="BD52" s="43"/>
      <c r="BG52" s="135"/>
      <c r="BH52" s="135"/>
    </row>
    <row r="53" spans="1:60">
      <c r="A53" s="43"/>
      <c r="B53" s="143"/>
      <c r="C53" s="358"/>
      <c r="D53" s="358"/>
      <c r="E53" s="152"/>
      <c r="F53" s="152"/>
      <c r="G53" s="257" t="s">
        <v>74</v>
      </c>
      <c r="H53" s="258"/>
      <c r="I53" s="259"/>
      <c r="J53" s="260">
        <f>+BC27</f>
        <v>1210.92</v>
      </c>
      <c r="K53" s="152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255">
        <f>+Q11</f>
        <v>2005</v>
      </c>
      <c r="BB53" s="256">
        <f>+Q27</f>
        <v>18093.12</v>
      </c>
      <c r="BC53" s="43"/>
      <c r="BD53" s="43"/>
      <c r="BG53" s="135"/>
      <c r="BH53" s="135"/>
    </row>
    <row r="54" spans="1:60">
      <c r="A54" s="43"/>
      <c r="B54" s="143"/>
      <c r="C54" s="143"/>
      <c r="D54" s="152"/>
      <c r="E54" s="152"/>
      <c r="F54" s="152"/>
      <c r="G54" s="152"/>
      <c r="H54" s="152"/>
      <c r="I54" s="152"/>
      <c r="J54" s="152"/>
      <c r="K54" s="152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255">
        <f>+S11</f>
        <v>2006</v>
      </c>
      <c r="BB54" s="256">
        <f>+S27</f>
        <v>12070.68</v>
      </c>
      <c r="BC54" s="43"/>
      <c r="BD54" s="43"/>
      <c r="BG54" s="135"/>
      <c r="BH54" s="135"/>
    </row>
    <row r="55" spans="1:60">
      <c r="A55" s="43"/>
      <c r="D55" s="43"/>
      <c r="E55" s="135"/>
      <c r="F55" s="135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255">
        <f>+U11</f>
        <v>2007</v>
      </c>
      <c r="BB55" s="256">
        <f>+U27</f>
        <v>13529.750000000002</v>
      </c>
      <c r="BC55" s="43"/>
      <c r="BD55" s="43"/>
      <c r="BG55" s="135"/>
      <c r="BH55" s="135"/>
    </row>
    <row r="56" spans="1:60">
      <c r="A56" s="43"/>
      <c r="D56" s="43"/>
      <c r="E56" s="135"/>
      <c r="F56" s="135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255">
        <v>2008</v>
      </c>
      <c r="BB56" s="256">
        <f>+W27</f>
        <v>9878.89</v>
      </c>
      <c r="BC56" s="43"/>
      <c r="BD56" s="43"/>
      <c r="BG56" s="135"/>
      <c r="BH56" s="135"/>
    </row>
    <row r="57" spans="1:60">
      <c r="A57" s="43"/>
      <c r="D57" s="43"/>
      <c r="E57" s="135"/>
      <c r="F57" s="135"/>
      <c r="G57" s="43"/>
      <c r="H57" s="43"/>
      <c r="I57" s="43"/>
      <c r="J57" s="43"/>
      <c r="K57" s="43"/>
      <c r="L57" s="43"/>
      <c r="M57" s="43"/>
      <c r="N57" s="43"/>
      <c r="O57" s="43"/>
      <c r="P57" s="100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255">
        <v>2009</v>
      </c>
      <c r="BB57" s="256">
        <f>+Y27</f>
        <v>8242.5700000000015</v>
      </c>
      <c r="BC57" s="43"/>
      <c r="BD57" s="43"/>
      <c r="BG57" s="135"/>
      <c r="BH57" s="135"/>
    </row>
    <row r="58" spans="1:60">
      <c r="A58" s="43"/>
      <c r="D58" s="43"/>
      <c r="E58" s="135"/>
      <c r="F58" s="135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255">
        <v>2010</v>
      </c>
      <c r="BB58" s="256">
        <f>+AA27</f>
        <v>11196.960000000001</v>
      </c>
      <c r="BC58" s="43"/>
      <c r="BD58" s="43"/>
      <c r="BG58" s="135"/>
      <c r="BH58" s="135"/>
    </row>
    <row r="59" spans="1:60">
      <c r="A59" s="43"/>
      <c r="D59" s="43"/>
      <c r="E59" s="135"/>
      <c r="F59" s="135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255">
        <v>2011</v>
      </c>
      <c r="BB59" s="256">
        <f>+AC27</f>
        <v>9620.8799999999992</v>
      </c>
      <c r="BC59" s="43"/>
      <c r="BD59" s="43"/>
      <c r="BG59" s="135"/>
      <c r="BH59" s="135"/>
    </row>
    <row r="60" spans="1:60">
      <c r="A60" s="43"/>
      <c r="D60" s="43"/>
      <c r="E60" s="135"/>
      <c r="F60" s="135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255">
        <v>2012</v>
      </c>
      <c r="BB60" s="256">
        <f>+AE27</f>
        <v>8643.85</v>
      </c>
      <c r="BC60" s="43"/>
      <c r="BD60" s="43"/>
      <c r="BG60" s="135"/>
      <c r="BH60" s="135"/>
    </row>
    <row r="61" spans="1:60">
      <c r="A61" s="43"/>
      <c r="D61" s="43"/>
      <c r="E61" s="135"/>
      <c r="F61" s="135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255">
        <v>2013</v>
      </c>
      <c r="BB61" s="256">
        <f>AG27</f>
        <v>7618.9299999999994</v>
      </c>
      <c r="BC61" s="43"/>
      <c r="BD61" s="43"/>
      <c r="BG61" s="135"/>
      <c r="BH61" s="135"/>
    </row>
    <row r="62" spans="1:60">
      <c r="A62" s="43"/>
      <c r="D62" s="43"/>
      <c r="E62" s="135"/>
      <c r="F62" s="135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255">
        <v>2014</v>
      </c>
      <c r="BB62" s="256">
        <f>AI27</f>
        <v>6964.68</v>
      </c>
      <c r="BC62" s="43"/>
      <c r="BD62" s="43"/>
      <c r="BG62" s="135"/>
      <c r="BH62" s="135"/>
    </row>
    <row r="63" spans="1:60">
      <c r="A63" s="43"/>
      <c r="D63" s="43"/>
      <c r="E63" s="135"/>
      <c r="F63" s="135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255">
        <v>2015</v>
      </c>
      <c r="BB63" s="256">
        <f>AK27</f>
        <v>3235.5399999999995</v>
      </c>
      <c r="BC63" s="43"/>
      <c r="BD63" s="43"/>
      <c r="BG63" s="135"/>
      <c r="BH63" s="135"/>
    </row>
    <row r="64" spans="1:60">
      <c r="A64" s="43"/>
      <c r="D64" s="43"/>
      <c r="E64" s="135"/>
      <c r="F64" s="135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255">
        <v>2016</v>
      </c>
      <c r="BB64" s="256">
        <f>AM27</f>
        <v>2683.7099999999996</v>
      </c>
      <c r="BC64" s="43"/>
      <c r="BD64" s="43"/>
      <c r="BG64" s="135"/>
      <c r="BH64" s="135"/>
    </row>
    <row r="65" spans="1:60">
      <c r="A65" s="43"/>
      <c r="D65" s="43"/>
      <c r="E65" s="135"/>
      <c r="F65" s="135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255">
        <v>2017</v>
      </c>
      <c r="BB65" s="256">
        <f>AO27</f>
        <v>3323.79</v>
      </c>
      <c r="BC65" s="43"/>
      <c r="BD65" s="43"/>
      <c r="BG65" s="135"/>
      <c r="BH65" s="135"/>
    </row>
    <row r="66" spans="1:60">
      <c r="A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255">
        <v>2018</v>
      </c>
      <c r="BB66" s="256">
        <f>AQ27</f>
        <v>4035.24</v>
      </c>
      <c r="BC66" s="43"/>
      <c r="BD66" s="43"/>
      <c r="BG66" s="135"/>
      <c r="BH66" s="135"/>
    </row>
    <row r="67" spans="1:60">
      <c r="A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255">
        <v>2019</v>
      </c>
      <c r="BB67" s="256">
        <f>AS27</f>
        <v>5736.75</v>
      </c>
      <c r="BC67" s="43"/>
      <c r="BD67" s="43"/>
      <c r="BG67" s="135"/>
      <c r="BH67" s="135"/>
    </row>
    <row r="68" spans="1:60">
      <c r="A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255">
        <v>2020</v>
      </c>
      <c r="BB68" s="256">
        <f>AU27</f>
        <v>4385.5500000000011</v>
      </c>
      <c r="BC68" s="43"/>
      <c r="BD68" s="43"/>
      <c r="BG68" s="135"/>
      <c r="BH68" s="135"/>
    </row>
    <row r="69" spans="1:60">
      <c r="A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255">
        <v>2021</v>
      </c>
      <c r="BB69" s="256">
        <f>AW27</f>
        <v>5655.3</v>
      </c>
      <c r="BC69" s="43"/>
      <c r="BD69" s="43"/>
      <c r="BG69" s="135"/>
      <c r="BH69" s="135"/>
    </row>
    <row r="70" spans="1:60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255">
        <v>2022</v>
      </c>
      <c r="BB70" s="256">
        <f>AY27</f>
        <v>4316.6099999999997</v>
      </c>
      <c r="BC70" s="43"/>
      <c r="BD70" s="43"/>
      <c r="BG70" s="135"/>
      <c r="BH70" s="135"/>
    </row>
    <row r="71" spans="1:60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255">
        <v>2023</v>
      </c>
      <c r="BB71" s="256">
        <f>BA27</f>
        <v>2737.5299999999997</v>
      </c>
      <c r="BC71" s="43"/>
      <c r="BD71" s="43"/>
      <c r="BG71" s="135"/>
      <c r="BH71" s="135"/>
    </row>
    <row r="72" spans="1:60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255">
        <v>2024</v>
      </c>
      <c r="BB72" s="256">
        <f>$BC$27</f>
        <v>1210.92</v>
      </c>
      <c r="BC72" s="43"/>
      <c r="BD72" s="43"/>
      <c r="BG72" s="135"/>
      <c r="BH72" s="135"/>
    </row>
    <row r="73" spans="1:60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G73" s="135"/>
      <c r="BH73" s="135"/>
    </row>
    <row r="74" spans="1:60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100"/>
      <c r="AR74" s="43"/>
      <c r="AS74" s="43"/>
      <c r="AV74" s="100"/>
      <c r="AW74" s="43"/>
      <c r="AX74" s="43"/>
      <c r="AY74" s="43"/>
      <c r="AZ74" s="43"/>
      <c r="BA74" s="43"/>
      <c r="BB74" s="43"/>
      <c r="BC74" s="43"/>
      <c r="BD74" s="43"/>
      <c r="BE74" s="135"/>
      <c r="BF74" s="135"/>
      <c r="BG74" s="135"/>
      <c r="BH74" s="135"/>
    </row>
    <row r="75" spans="1:60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135"/>
      <c r="BF75" s="135"/>
      <c r="BG75" s="135"/>
      <c r="BH75" s="135"/>
    </row>
  </sheetData>
  <mergeCells count="49">
    <mergeCell ref="BE11:BE12"/>
    <mergeCell ref="AS11:AT11"/>
    <mergeCell ref="BC11:BD11"/>
    <mergeCell ref="C53:D53"/>
    <mergeCell ref="C11:D11"/>
    <mergeCell ref="C35:C36"/>
    <mergeCell ref="D35:D36"/>
    <mergeCell ref="O35:O36"/>
    <mergeCell ref="M35:M36"/>
    <mergeCell ref="N35:N36"/>
    <mergeCell ref="K34:N34"/>
    <mergeCell ref="E32:L32"/>
    <mergeCell ref="L35:L36"/>
    <mergeCell ref="E11:F11"/>
    <mergeCell ref="E35:E36"/>
    <mergeCell ref="F35:F36"/>
    <mergeCell ref="AQ11:AR11"/>
    <mergeCell ref="BA11:BB11"/>
    <mergeCell ref="Q11:R11"/>
    <mergeCell ref="AG11:AH11"/>
    <mergeCell ref="AK11:AL11"/>
    <mergeCell ref="AW11:AX11"/>
    <mergeCell ref="S11:T11"/>
    <mergeCell ref="AI11:AJ11"/>
    <mergeCell ref="AC11:AD11"/>
    <mergeCell ref="AE11:AF11"/>
    <mergeCell ref="AO11:AP11"/>
    <mergeCell ref="AM11:AN11"/>
    <mergeCell ref="AU11:AV11"/>
    <mergeCell ref="AY11:AZ11"/>
    <mergeCell ref="AJ35:AP36"/>
    <mergeCell ref="U11:V11"/>
    <mergeCell ref="W11:X11"/>
    <mergeCell ref="AA11:AB11"/>
    <mergeCell ref="Y11:Z11"/>
    <mergeCell ref="C34:F34"/>
    <mergeCell ref="P35:P36"/>
    <mergeCell ref="O34:P34"/>
    <mergeCell ref="M11:N11"/>
    <mergeCell ref="K11:L11"/>
    <mergeCell ref="G34:J34"/>
    <mergeCell ref="G35:G36"/>
    <mergeCell ref="H35:H36"/>
    <mergeCell ref="I35:I36"/>
    <mergeCell ref="J35:J36"/>
    <mergeCell ref="K35:K36"/>
    <mergeCell ref="G11:H11"/>
    <mergeCell ref="O11:P11"/>
    <mergeCell ref="I11:J11"/>
  </mergeCells>
  <phoneticPr fontId="0" type="noConversion"/>
  <printOptions horizontalCentered="1"/>
  <pageMargins left="0.25" right="0.25" top="0.75" bottom="0.75" header="0.3" footer="0.3"/>
  <pageSetup paperSize="9" scale="42" fitToWidth="0" orientation="landscape" horizontalDpi="4294967293" verticalDpi="300" r:id="rId1"/>
  <headerFooter alignWithMargins="0"/>
  <ignoredErrors>
    <ignoredError sqref="BE20 K38:K51 L43:L44" evalError="1"/>
    <ignoredError sqref="BC27 AS27 AU27 AW27 AY27 BA27 AT27 BB27 AZ27 AX27 AV27" formula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Q49"/>
  <sheetViews>
    <sheetView showGridLines="0" tabSelected="1" zoomScaleNormal="100" workbookViewId="0">
      <pane xSplit="2" ySplit="3" topLeftCell="C4" activePane="bottomRight" state="frozen"/>
      <selection pane="bottomRight" activeCell="N34" sqref="N34"/>
      <selection pane="bottomLeft" activeCell="I66" sqref="I66"/>
      <selection pane="topRight" activeCell="I66" sqref="I66"/>
    </sheetView>
  </sheetViews>
  <sheetFormatPr defaultColWidth="9.140625" defaultRowHeight="12.75"/>
  <cols>
    <col min="1" max="1" width="3.85546875" customWidth="1"/>
    <col min="2" max="2" width="21.85546875" customWidth="1"/>
    <col min="3" max="4" width="13.85546875" bestFit="1" customWidth="1"/>
    <col min="5" max="6" width="13.42578125" bestFit="1" customWidth="1"/>
    <col min="7" max="7" width="12.140625" bestFit="1" customWidth="1"/>
    <col min="8" max="8" width="13.42578125" bestFit="1" customWidth="1"/>
    <col min="9" max="9" width="13.85546875" bestFit="1" customWidth="1"/>
    <col min="10" max="11" width="13.42578125" bestFit="1" customWidth="1"/>
    <col min="12" max="12" width="13.85546875" bestFit="1" customWidth="1"/>
    <col min="13" max="13" width="13.42578125" bestFit="1" customWidth="1"/>
    <col min="14" max="14" width="13.85546875" bestFit="1" customWidth="1"/>
    <col min="15" max="15" width="15.5703125" style="272" bestFit="1" customWidth="1"/>
    <col min="16" max="16" width="11.42578125" customWidth="1"/>
    <col min="17" max="17" width="12.7109375" bestFit="1" customWidth="1"/>
    <col min="18" max="256" width="11.42578125" customWidth="1"/>
  </cols>
  <sheetData>
    <row r="2" spans="2:17" ht="20.25">
      <c r="C2" s="361" t="s">
        <v>75</v>
      </c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</row>
    <row r="3" spans="2:17" ht="16.5" customHeight="1">
      <c r="B3" s="273" t="s">
        <v>76</v>
      </c>
      <c r="C3" s="274" t="s">
        <v>77</v>
      </c>
      <c r="D3" s="274" t="s">
        <v>78</v>
      </c>
      <c r="E3" s="274" t="s">
        <v>79</v>
      </c>
      <c r="F3" s="274" t="s">
        <v>80</v>
      </c>
      <c r="G3" s="274" t="s">
        <v>81</v>
      </c>
      <c r="H3" s="274" t="s">
        <v>82</v>
      </c>
      <c r="I3" s="274" t="s">
        <v>83</v>
      </c>
      <c r="J3" s="274" t="s">
        <v>84</v>
      </c>
      <c r="K3" s="274" t="s">
        <v>85</v>
      </c>
      <c r="L3" s="274" t="s">
        <v>86</v>
      </c>
      <c r="M3" s="274" t="s">
        <v>87</v>
      </c>
      <c r="N3" s="274" t="s">
        <v>88</v>
      </c>
      <c r="O3" s="269"/>
    </row>
    <row r="5" spans="2:17" s="275" customFormat="1" ht="15" customHeight="1">
      <c r="B5" s="275" t="s">
        <v>89</v>
      </c>
      <c r="C5" s="296">
        <f ca="1">SUMIF(ENE!$D$11:$G$43,B5:B31,ENE!$F$11:$G$43)</f>
        <v>0</v>
      </c>
      <c r="D5" s="296">
        <f ca="1">SUMIF(FEB!$C$11:$F$47,'Mov x Buque'!B5,FEB!$E$11:$F$47)</f>
        <v>0</v>
      </c>
      <c r="E5" s="296">
        <f ca="1">SUMIF(MAR!$C$11:$F$44,'Mov x Buque'!B5,MAR!$E$11:$F$44)</f>
        <v>0</v>
      </c>
      <c r="F5" s="296">
        <f ca="1">SUMIF(ABR!$C$11:$F$48,'Mov x Buque'!B5,ABR!$E$11:$F$48)</f>
        <v>0</v>
      </c>
      <c r="G5" s="296">
        <f ca="1">SUMIF(MAY!$C$11:$F$51,'Mov x Buque'!B5,MAY!$E$11:$F$51)</f>
        <v>0</v>
      </c>
      <c r="H5" s="296">
        <f ca="1">SUMIF(JUN!$C$11:$F$41,'Mov x Buque'!B5,JUN!$E$11:$F$41)</f>
        <v>0</v>
      </c>
      <c r="I5" s="296">
        <f ca="1">SUMIF(JUL!$C$10:$F$44,'Mov x Buque'!B5,JUL!$E$10:$F$44)</f>
        <v>0</v>
      </c>
      <c r="J5" s="296">
        <f ca="1">SUMIF(AGO!$C$6:$F$51,'Mov x Buque'!B5,AGO!$E$6:$F$51)</f>
        <v>0</v>
      </c>
      <c r="K5" s="296">
        <f ca="1">SUMIF(SEP!$C$11:$F$76,B5,SEP!$E$11:$F$76)</f>
        <v>0</v>
      </c>
      <c r="L5" s="296">
        <f ca="1">SUMIF(OCT!$C$10:$F$45,B5,OCT!$E$10:$F$45)</f>
        <v>0</v>
      </c>
      <c r="M5" s="296">
        <f ca="1">SUMIF(NOV!$D$9:$G$39,B5,NOV!$F$9:$G$39)</f>
        <v>0</v>
      </c>
      <c r="N5" s="296">
        <v>0</v>
      </c>
      <c r="O5" s="278">
        <f ca="1">SUM(C5:N5)</f>
        <v>0</v>
      </c>
    </row>
    <row r="6" spans="2:17" s="275" customFormat="1" ht="15" customHeight="1">
      <c r="B6" s="279" t="s">
        <v>90</v>
      </c>
      <c r="C6" s="296">
        <f ca="1">SUMIF(ENE!$D$11:$G$43,B6:B32,ENE!$F$11:$G$43)</f>
        <v>0</v>
      </c>
      <c r="D6" s="296">
        <f ca="1">SUMIF(FEB!$C$11:$F$47,'Mov x Buque'!B6,FEB!$E$11:$F$47)</f>
        <v>0</v>
      </c>
      <c r="E6" s="296">
        <f ca="1">SUMIF(MAR!$C$11:$F$44,'Mov x Buque'!B6,MAR!$E$11:$F$44)</f>
        <v>0</v>
      </c>
      <c r="F6" s="296">
        <f ca="1">SUMIF(ABR!$C$11:$F$48,'Mov x Buque'!B6,ABR!$E$11:$F$48)</f>
        <v>0</v>
      </c>
      <c r="G6" s="296">
        <f ca="1">SUMIF(MAY!$C$11:$F$51,'Mov x Buque'!B6,MAY!$E$11:$F$51)</f>
        <v>0</v>
      </c>
      <c r="H6" s="296">
        <f ca="1">SUMIF(JUN!$C$11:$F$41,'Mov x Buque'!B6,JUN!$E$11:$F$41)</f>
        <v>0</v>
      </c>
      <c r="I6" s="296">
        <f ca="1">SUMIF(JUL!$C$10:$F$44,'Mov x Buque'!B6,JUL!$E$10:$F$44)</f>
        <v>0</v>
      </c>
      <c r="J6" s="296">
        <f ca="1">SUMIF(AGO!$C$6:$F$51,'Mov x Buque'!B6,AGO!$E$6:$F$51)</f>
        <v>0</v>
      </c>
      <c r="K6" s="296">
        <v>0</v>
      </c>
      <c r="L6" s="296">
        <f ca="1">SUMIF(OCT!$C$10:$F$45,B6,OCT!$E$10:$F$45)</f>
        <v>0</v>
      </c>
      <c r="M6" s="296">
        <f ca="1">SUMIF(NOV!$D$9:$G$39,B6,NOV!$F$9:$G$39)</f>
        <v>0</v>
      </c>
      <c r="N6" s="296">
        <f ca="1">SUMIF(DIC!$C$9:$F$51,B6:B32,DIC!$E$9:$F$51)</f>
        <v>0</v>
      </c>
      <c r="O6" s="278">
        <f t="shared" ref="O6:O29" ca="1" si="0">SUM(C6:N6)</f>
        <v>0</v>
      </c>
    </row>
    <row r="7" spans="2:17" s="275" customFormat="1" ht="15" customHeight="1">
      <c r="B7" s="279" t="s">
        <v>91</v>
      </c>
      <c r="C7" s="296">
        <f ca="1">SUMIF(ENE!$D$11:$G$43,B7:B33,ENE!$F$11:$G$43)</f>
        <v>0</v>
      </c>
      <c r="D7" s="296">
        <f ca="1">SUMIF(FEB!$C$11:$F$47,'Mov x Buque'!B7,FEB!$E$11:$F$47)</f>
        <v>0</v>
      </c>
      <c r="E7" s="296">
        <f ca="1">SUMIF(MAR!$C$11:$F$44,'Mov x Buque'!B7,MAR!$E$11:$F$44)</f>
        <v>0</v>
      </c>
      <c r="F7" s="296">
        <f ca="1">SUMIF(ABR!$C$11:$F$48,'Mov x Buque'!B7,ABR!$E$11:$F$48)</f>
        <v>0</v>
      </c>
      <c r="G7" s="296">
        <f ca="1">SUMIF(MAY!$C$11:$F$51,'Mov x Buque'!B7,MAY!$E$11:$F$51)</f>
        <v>0</v>
      </c>
      <c r="H7" s="296">
        <f ca="1">SUMIF(JUN!$C$11:$F$41,'Mov x Buque'!B7,JUN!$E$11:$F$41)</f>
        <v>0</v>
      </c>
      <c r="I7" s="296">
        <f ca="1">SUMIF(JUL!$C$10:$F$44,'Mov x Buque'!B7,JUL!$E$10:$F$44)</f>
        <v>0</v>
      </c>
      <c r="J7" s="296">
        <f ca="1">SUMIF(AGO!$C$6:$F$51,'Mov x Buque'!B7,AGO!$E$6:$F$51)</f>
        <v>0</v>
      </c>
      <c r="K7" s="296">
        <f ca="1">SUMIF(SEP!$C$11:$F$76,B7,SEP!$E$11:$F$76)</f>
        <v>0</v>
      </c>
      <c r="L7" s="296">
        <f ca="1">SUMIF(OCT!$C$10:$F$45,B7,OCT!$E$10:$F$45)</f>
        <v>0</v>
      </c>
      <c r="M7" s="296">
        <f ca="1">SUMIF(NOV!$D$9:$G$39,B7,NOV!$F$9:$G$39)</f>
        <v>0</v>
      </c>
      <c r="N7" s="296">
        <f ca="1">SUMIF(DIC!$C$9:$F$51,B7:B33,DIC!$E$9:$F$51)</f>
        <v>0</v>
      </c>
      <c r="O7" s="278">
        <f t="shared" ca="1" si="0"/>
        <v>0</v>
      </c>
    </row>
    <row r="8" spans="2:17" s="275" customFormat="1" ht="15" customHeight="1">
      <c r="B8" s="280" t="s">
        <v>92</v>
      </c>
      <c r="C8" s="296">
        <f ca="1">SUMIF(ENE!$D$11:$G$43,B8:B33,ENE!$F$11:$G$43)</f>
        <v>90840</v>
      </c>
      <c r="D8" s="296">
        <f ca="1">SUMIF(FEB!$C$11:$F$47,'Mov x Buque'!B8,FEB!$E$11:$F$47)</f>
        <v>64650</v>
      </c>
      <c r="E8" s="296">
        <f ca="1">SUMIF(MAR!$C$11:$F$44,'Mov x Buque'!B8,MAR!$E$11:$F$44)</f>
        <v>0</v>
      </c>
      <c r="F8" s="296">
        <f ca="1">SUMIF(ABR!$C$11:$F$48,'Mov x Buque'!B8,ABR!$E$11:$F$48)</f>
        <v>0</v>
      </c>
      <c r="G8" s="296">
        <f ca="1">SUMIF(MAY!$C$11:$F$51,'Mov x Buque'!B8,MAY!$E$11:$F$51)</f>
        <v>0</v>
      </c>
      <c r="H8" s="296">
        <f ca="1">SUMIF(JUN!$C$11:$F$41,'Mov x Buque'!B8,JUN!$E$11:$F$41)</f>
        <v>0</v>
      </c>
      <c r="I8" s="296">
        <f ca="1">SUMIF(JUL!$C$10:$F$44,'Mov x Buque'!B8,JUL!$E$10:$F$44)</f>
        <v>0</v>
      </c>
      <c r="J8" s="296">
        <f ca="1">SUMIF(AGO!$C$6:$F$51,'Mov x Buque'!B8,AGO!$E$6:$F$51)</f>
        <v>0</v>
      </c>
      <c r="K8" s="296">
        <f ca="1">SUMIF(SEP!$C$11:$F$76,B8,SEP!$E$11:$F$76)</f>
        <v>50010</v>
      </c>
      <c r="L8" s="296">
        <f ca="1">SUMIF(OCT!$C$10:$F$45,B8,OCT!$E$10:$F$45)</f>
        <v>0</v>
      </c>
      <c r="M8" s="296">
        <f ca="1">SUMIF(NOV!$D$9:$G$39,B8,NOV!$F$9:$G$39)</f>
        <v>66120</v>
      </c>
      <c r="N8" s="296">
        <f ca="1">SUMIF(DIC!$C$9:$F$51,B8:B34,DIC!$E$9:$F$51)</f>
        <v>0</v>
      </c>
      <c r="O8" s="278">
        <f t="shared" ca="1" si="0"/>
        <v>271620</v>
      </c>
    </row>
    <row r="9" spans="2:17" s="275" customFormat="1" ht="15" customHeight="1">
      <c r="B9" s="280" t="s">
        <v>93</v>
      </c>
      <c r="C9" s="296">
        <f ca="1">SUMIF(ENE!$D$11:$G$43,B9:B34,ENE!$F$11:$G$43)</f>
        <v>0</v>
      </c>
      <c r="D9" s="296">
        <f ca="1">SUMIF(FEB!$C$11:$F$47,'Mov x Buque'!B9,FEB!$E$11:$F$47)</f>
        <v>0</v>
      </c>
      <c r="E9" s="296">
        <f ca="1">SUMIF(MAR!$C$11:$F$44,'Mov x Buque'!B9,MAR!$E$11:$F$44)</f>
        <v>0</v>
      </c>
      <c r="F9" s="296">
        <f ca="1">SUMIF(ABR!$C$11:$F$48,'Mov x Buque'!B9,ABR!$E$11:$F$48)</f>
        <v>0</v>
      </c>
      <c r="G9" s="296">
        <f ca="1">SUMIF(MAY!$C$11:$F$51,'Mov x Buque'!B9,MAY!$E$11:$F$51)</f>
        <v>0</v>
      </c>
      <c r="H9" s="296">
        <f ca="1">SUMIF(JUN!$C$11:$F$41,'Mov x Buque'!B9,JUN!$E$11:$F$41)</f>
        <v>0</v>
      </c>
      <c r="I9" s="296">
        <f ca="1">SUMIF(JUL!$C$10:$F$44,'Mov x Buque'!B9,JUL!$E$10:$F$44)</f>
        <v>0</v>
      </c>
      <c r="J9" s="296">
        <f ca="1">SUMIF(AGO!$C$6:$F$51,'Mov x Buque'!B9,AGO!$E$6:$F$51)</f>
        <v>0</v>
      </c>
      <c r="K9" s="296">
        <f ca="1">SUMIF(SEP!$C$11:$F$76,B9,SEP!$E$11:$F$76)</f>
        <v>0</v>
      </c>
      <c r="L9" s="296">
        <f ca="1">SUMIF(OCT!$C$10:$F$45,B9,OCT!$E$10:$F$45)</f>
        <v>0</v>
      </c>
      <c r="M9" s="296">
        <f ca="1">SUMIF(NOV!$D$9:$G$39,B9,NOV!$F$9:$G$39)</f>
        <v>0</v>
      </c>
      <c r="N9" s="296">
        <f ca="1">SUMIF(DIC!$C$9:$F$51,B9:B35,DIC!$E$9:$F$51)</f>
        <v>0</v>
      </c>
      <c r="O9" s="278">
        <f t="shared" ca="1" si="0"/>
        <v>0</v>
      </c>
    </row>
    <row r="10" spans="2:17" s="275" customFormat="1" ht="15" customHeight="1">
      <c r="B10" s="280" t="s">
        <v>94</v>
      </c>
      <c r="C10" s="296">
        <f ca="1">SUMIF(ENE!$D$11:$G$43,B10:B35,ENE!$F$11:$G$43)</f>
        <v>0</v>
      </c>
      <c r="D10" s="296">
        <f ca="1">SUMIF(FEB!$C$11:$F$47,'Mov x Buque'!B10,FEB!$E$11:$F$47)</f>
        <v>0</v>
      </c>
      <c r="E10" s="296">
        <f ca="1">SUMIF(MAR!$C$11:$F$44,'Mov x Buque'!B10,MAR!$E$11:$F$44)</f>
        <v>0</v>
      </c>
      <c r="F10" s="296">
        <f ca="1">SUMIF(ABR!$C$11:$F$48,'Mov x Buque'!B10,ABR!$E$11:$F$48)</f>
        <v>0</v>
      </c>
      <c r="G10" s="296">
        <f ca="1">SUMIF(MAY!$C$11:$F$51,'Mov x Buque'!B10,MAY!$E$11:$F$51)</f>
        <v>0</v>
      </c>
      <c r="H10" s="296">
        <f ca="1">SUMIF(JUN!$C$11:$F$41,'Mov x Buque'!B10,JUN!$E$11:$F$41)</f>
        <v>0</v>
      </c>
      <c r="I10" s="296">
        <f ca="1">SUMIF(JUL!$C$10:$F$44,'Mov x Buque'!B10,JUL!$E$10:$F$44)</f>
        <v>0</v>
      </c>
      <c r="J10" s="296">
        <f ca="1">SUMIF(AGO!$C$6:$F$51,'Mov x Buque'!B10,AGO!$E$6:$F$51)</f>
        <v>0</v>
      </c>
      <c r="K10" s="296">
        <f ca="1">SUMIF(SEP!$C$11:$F$76,B10,SEP!$E$11:$F$76)</f>
        <v>0</v>
      </c>
      <c r="L10" s="296">
        <f ca="1">SUMIF(OCT!$C$10:$F$45,B10,OCT!$E$10:$F$45)</f>
        <v>0</v>
      </c>
      <c r="M10" s="296">
        <f ca="1">SUMIF(NOV!$D$9:$G$39,B10,NOV!$F$9:$G$39)</f>
        <v>0</v>
      </c>
      <c r="N10" s="296">
        <f ca="1">SUMIF(DIC!$C$9:$F$51,B10:B36,DIC!$E$9:$F$51)</f>
        <v>0</v>
      </c>
      <c r="O10" s="278">
        <f t="shared" ca="1" si="0"/>
        <v>0</v>
      </c>
    </row>
    <row r="11" spans="2:17" s="275" customFormat="1" ht="15" customHeight="1">
      <c r="B11" s="280" t="s">
        <v>95</v>
      </c>
      <c r="C11" s="296">
        <f ca="1">SUMIF(ENE!$D$11:$G$43,B11:B36,ENE!$F$11:$G$43)</f>
        <v>166500</v>
      </c>
      <c r="D11" s="296">
        <f ca="1">SUMIF(FEB!$C$11:$F$47,'Mov x Buque'!B11,FEB!$E$11:$F$47)</f>
        <v>63150</v>
      </c>
      <c r="E11" s="296">
        <f ca="1">SUMIF(MAR!$C$11:$F$44,'Mov x Buque'!B11,MAR!$E$11:$F$44)</f>
        <v>0</v>
      </c>
      <c r="F11" s="296">
        <f ca="1">SUMIF(ABR!$C$11:$F$48,'Mov x Buque'!B11,ABR!$E$11:$F$48)</f>
        <v>0</v>
      </c>
      <c r="G11" s="296">
        <f ca="1">SUMIF(MAY!$C$11:$F$51,'Mov x Buque'!B11,MAY!$E$11:$F$51)</f>
        <v>0</v>
      </c>
      <c r="H11" s="296">
        <f ca="1">SUMIF(JUN!$C$11:$F$41,'Mov x Buque'!B11,JUN!$E$11:$F$41)</f>
        <v>0</v>
      </c>
      <c r="I11" s="296">
        <f ca="1">SUMIF(JUL!$C$10:$F$44,'Mov x Buque'!B11,JUL!$E$10:$F$44)</f>
        <v>0</v>
      </c>
      <c r="J11" s="296">
        <f ca="1">SUMIF(AGO!$C$6:$F$51,'Mov x Buque'!B11,AGO!$E$6:$F$51)</f>
        <v>0</v>
      </c>
      <c r="K11" s="296">
        <f ca="1">SUMIF(SEP!$C$11:$F$76,B11,SEP!$E$11:$F$76)</f>
        <v>41850</v>
      </c>
      <c r="L11" s="296">
        <f ca="1">SUMIF(OCT!$C$10:$F$45,B11,OCT!$E$10:$F$45)</f>
        <v>0</v>
      </c>
      <c r="M11" s="296">
        <f ca="1">SUMIF(NOV!$D$9:$G$39,B11,NOV!$F$9:$G$39)</f>
        <v>107370</v>
      </c>
      <c r="N11" s="296">
        <f ca="1">SUMIF(DIC!$C$9:$F$51,B11:B37,DIC!$E$9:$F$51)</f>
        <v>59970</v>
      </c>
      <c r="O11" s="278">
        <f t="shared" ca="1" si="0"/>
        <v>438840</v>
      </c>
    </row>
    <row r="12" spans="2:17" s="275" customFormat="1" ht="15" customHeight="1">
      <c r="B12" s="279" t="s">
        <v>96</v>
      </c>
      <c r="C12" s="296">
        <f ca="1">SUMIF(ENE!$D$11:$G$43,B12:B34,ENE!$F$11:$G$43)</f>
        <v>0</v>
      </c>
      <c r="D12" s="296">
        <f ca="1">SUMIF(FEB!$C$11:$F$47,'Mov x Buque'!B12,FEB!$E$11:$F$47)</f>
        <v>0</v>
      </c>
      <c r="E12" s="296">
        <f ca="1">SUMIF(MAR!$C$11:$F$44,'Mov x Buque'!B12,MAR!$E$11:$F$44)</f>
        <v>0</v>
      </c>
      <c r="F12" s="296">
        <f ca="1">SUMIF(ABR!$C$11:$F$48,'Mov x Buque'!B12,ABR!$E$11:$F$48)</f>
        <v>0</v>
      </c>
      <c r="G12" s="296">
        <f ca="1">SUMIF(MAY!$C$11:$F$51,'Mov x Buque'!B12,MAY!$E$11:$F$51)</f>
        <v>0</v>
      </c>
      <c r="H12" s="296">
        <f ca="1">SUMIF(JUN!$C$11:$F$41,'Mov x Buque'!B12,JUN!$E$11:$F$41)</f>
        <v>0</v>
      </c>
      <c r="I12" s="296">
        <f ca="1">SUMIF(JUL!$C$10:$F$44,'Mov x Buque'!B12,JUL!$E$10:$F$44)</f>
        <v>0</v>
      </c>
      <c r="J12" s="296">
        <f ca="1">SUMIF(AGO!$C$6:$F$51,'Mov x Buque'!B12,AGO!$E$6:$F$51)</f>
        <v>0</v>
      </c>
      <c r="K12" s="296">
        <f ca="1">SUMIF(SEP!$C$11:$F$76,B12,SEP!$E$11:$F$76)</f>
        <v>0</v>
      </c>
      <c r="L12" s="296">
        <f ca="1">SUMIF(OCT!$C$10:$F$45,B12,OCT!$E$10:$F$45)</f>
        <v>0</v>
      </c>
      <c r="M12" s="296">
        <f ca="1">SUMIF(NOV!$D$9:$G$39,B12,NOV!$F$9:$G$39)</f>
        <v>0</v>
      </c>
      <c r="N12" s="296">
        <f ca="1">SUMIF(DIC!$C$9:$F$51,B12:B35,DIC!$E$9:$F$51)</f>
        <v>0</v>
      </c>
      <c r="O12" s="278">
        <f t="shared" ca="1" si="0"/>
        <v>0</v>
      </c>
    </row>
    <row r="13" spans="2:17" s="275" customFormat="1" ht="15" customHeight="1">
      <c r="B13" s="275" t="s">
        <v>97</v>
      </c>
      <c r="C13" s="296">
        <f ca="1">SUMIF(ENE!$D$11:$G$43,B13:B35,ENE!$F$11:$G$43)</f>
        <v>0</v>
      </c>
      <c r="D13" s="296">
        <f ca="1">SUMIF(FEB!$C$11:$F$47,'Mov x Buque'!B13,FEB!$E$11:$F$47)</f>
        <v>0</v>
      </c>
      <c r="E13" s="296">
        <f ca="1">SUMIF(MAR!$C$11:$F$44,'Mov x Buque'!B13,MAR!$E$11:$F$44)</f>
        <v>0</v>
      </c>
      <c r="F13" s="296">
        <f ca="1">SUMIF(ABR!$C$11:$F$48,'Mov x Buque'!B13,ABR!$E$11:$F$48)</f>
        <v>0</v>
      </c>
      <c r="G13" s="296">
        <f ca="1">SUMIF(MAY!$C$11:$F$51,'Mov x Buque'!B13,MAY!$E$11:$F$51)</f>
        <v>0</v>
      </c>
      <c r="H13" s="296">
        <f ca="1">SUMIF(JUN!$C$11:$F$41,'Mov x Buque'!B13,JUN!$E$11:$F$41)</f>
        <v>0</v>
      </c>
      <c r="I13" s="296">
        <f ca="1">SUMIF(JUL!$C$10:$F$44,'Mov x Buque'!B13,JUL!$E$10:$F$44)</f>
        <v>0</v>
      </c>
      <c r="J13" s="296">
        <f ca="1">SUMIF(AGO!$C$6:$F$51,'Mov x Buque'!B13,AGO!$E$6:$F$51)</f>
        <v>0</v>
      </c>
      <c r="K13" s="296">
        <f ca="1">SUMIF(SEP!$C$11:$F$76,B13,SEP!$E$11:$F$76)</f>
        <v>0</v>
      </c>
      <c r="L13" s="296">
        <f ca="1">SUMIF(OCT!$C$10:$F$45,B13,OCT!$E$10:$F$45)</f>
        <v>0</v>
      </c>
      <c r="M13" s="296">
        <f ca="1">SUMIF(NOV!$D$9:$G$39,B13,NOV!$F$9:$G$39)</f>
        <v>0</v>
      </c>
      <c r="N13" s="296">
        <f ca="1">SUMIF(DIC!$C$9:$F$51,B13:B36,DIC!$E$9:$F$51)</f>
        <v>0</v>
      </c>
      <c r="O13" s="278">
        <f ca="1">SUM(C13:N13)</f>
        <v>0</v>
      </c>
    </row>
    <row r="14" spans="2:17" s="275" customFormat="1" ht="15" customHeight="1">
      <c r="B14" s="276" t="s">
        <v>98</v>
      </c>
      <c r="C14" s="296">
        <f ca="1">SUMIF(ENE!$D$11:$G$43,B14:B36,ENE!$F$11:$G$43)</f>
        <v>0</v>
      </c>
      <c r="D14" s="296">
        <f ca="1">SUMIF(FEB!$C$11:$F$47,'Mov x Buque'!B14,FEB!$E$11:$F$47)</f>
        <v>0</v>
      </c>
      <c r="E14" s="296">
        <f ca="1">SUMIF(MAR!$C$11:$F$44,'Mov x Buque'!B14,MAR!$E$11:$F$44)</f>
        <v>0</v>
      </c>
      <c r="F14" s="296">
        <f ca="1">SUMIF(ABR!$C$11:$F$48,'Mov x Buque'!B14,ABR!$E$11:$F$48)</f>
        <v>0</v>
      </c>
      <c r="G14" s="296">
        <f ca="1">SUMIF(MAY!$C$11:$F$48,'Mov x Buque'!B14,MAY!$E$11:$F$48)</f>
        <v>0</v>
      </c>
      <c r="H14" s="296">
        <f ca="1">SUMIF(JUN!$C$11:$F$41,'Mov x Buque'!B14,JUN!$E$11:$F$41)</f>
        <v>0</v>
      </c>
      <c r="I14" s="296">
        <f ca="1">SUMIF(JUL!$C$10:$F$44,'Mov x Buque'!B14,JUL!$E$10:$F$44)</f>
        <v>0</v>
      </c>
      <c r="J14" s="296">
        <f ca="1">SUMIF(AGO!$C$6:$F$51,'Mov x Buque'!B14,AGO!$E$6:$F$51)</f>
        <v>0</v>
      </c>
      <c r="K14" s="296">
        <f ca="1">SUMIF(SEP!$C$11:$F$76,B14,SEP!$E$11:$F$76)</f>
        <v>0</v>
      </c>
      <c r="L14" s="296">
        <f ca="1">SUMIF(OCT!$C$10:$F$45,B14,OCT!$E$10:$F$45)</f>
        <v>53670</v>
      </c>
      <c r="M14" s="296">
        <f ca="1">SUMIF(NOV!$D$9:$G$39,B14,NOV!$F$9:$G$39)</f>
        <v>0</v>
      </c>
      <c r="N14" s="296">
        <f ca="1">SUMIF(DIC!$C$9:$F$25,B14,DIC!$E$9:$F$23)</f>
        <v>0</v>
      </c>
      <c r="O14" s="278">
        <f t="shared" ca="1" si="0"/>
        <v>53670</v>
      </c>
    </row>
    <row r="15" spans="2:17" s="275" customFormat="1" ht="15" customHeight="1">
      <c r="B15" s="281" t="s">
        <v>99</v>
      </c>
      <c r="C15" s="296">
        <f ca="1">SUMIF(ENE!$D$11:$G$43,B15:B37,ENE!$F$11:$G$43)</f>
        <v>0</v>
      </c>
      <c r="D15" s="296">
        <f ca="1">SUMIF(FEB!$C$11:$F$47,'Mov x Buque'!B15,FEB!$E$11:$F$47)</f>
        <v>0</v>
      </c>
      <c r="E15" s="296">
        <f ca="1">SUMIF(MAR!$C$11:$F$44,'Mov x Buque'!B15,MAR!$E$11:$F$44)</f>
        <v>0</v>
      </c>
      <c r="F15" s="296">
        <f ca="1">SUMIF(ABR!$C$11:$F$48,'Mov x Buque'!B15,ABR!$E$11:$F$48)</f>
        <v>0</v>
      </c>
      <c r="G15" s="296">
        <f ca="1">SUMIF(MAY!$C$11:$F$51,'Mov x Buque'!B15,MAY!$E$11:$F$51)</f>
        <v>0</v>
      </c>
      <c r="H15" s="296">
        <f ca="1">SUMIF(JUN!$C$11:$F$41,'Mov x Buque'!B15,JUN!$E$11:$F$41)</f>
        <v>0</v>
      </c>
      <c r="I15" s="296">
        <f ca="1">SUMIF(JUL!$C$10:$F$44,'Mov x Buque'!B15,JUL!$E$10:$F$44)</f>
        <v>0</v>
      </c>
      <c r="J15" s="296">
        <f ca="1">SUMIF(AGO!$C$6:$F$51,'Mov x Buque'!B15,AGO!$E$6:$F$51)</f>
        <v>0</v>
      </c>
      <c r="K15" s="296">
        <f ca="1">SUMIF(SEP!$C$11:$F$76,B15,SEP!$E$11:$F$76)</f>
        <v>0</v>
      </c>
      <c r="L15" s="296">
        <f ca="1">SUMIF(OCT!$C$10:$F$45,B15,OCT!$E$10:$F$45)</f>
        <v>0</v>
      </c>
      <c r="M15" s="296">
        <f ca="1">SUMIF(NOV!$D$9:$G$39,B15,NOV!$F$9:$G$39)</f>
        <v>0</v>
      </c>
      <c r="N15" s="296">
        <f ca="1">SUMIF(DIC!$C$9:$F$51,B15:B36,DIC!$E$9:$F$51)</f>
        <v>0</v>
      </c>
      <c r="O15" s="278">
        <f t="shared" ca="1" si="0"/>
        <v>0</v>
      </c>
    </row>
    <row r="16" spans="2:17" s="275" customFormat="1" ht="15" customHeight="1">
      <c r="B16" s="282" t="s">
        <v>100</v>
      </c>
      <c r="C16" s="296">
        <f ca="1">SUMIF(ENE!$D$11:$G$43,B16:B38,ENE!$F$11:$G$43)</f>
        <v>0</v>
      </c>
      <c r="D16" s="296">
        <f ca="1">SUMIF(FEB!$C$11:$F$47,'Mov x Buque'!B16,FEB!$E$11:$F$47)</f>
        <v>0</v>
      </c>
      <c r="E16" s="296">
        <f ca="1">SUMIF(MAR!$C$11:$F$44,'Mov x Buque'!B16,MAR!$E$11:$F$44)</f>
        <v>0</v>
      </c>
      <c r="F16" s="296">
        <f ca="1">SUMIF(ABR!$C$11:$F$48,'Mov x Buque'!B16,ABR!$E$11:$F$48)</f>
        <v>0</v>
      </c>
      <c r="G16" s="296">
        <f ca="1">SUMIF(MAY!$C$11:$F$51,'Mov x Buque'!B16,MAY!$E$11:$F$51)</f>
        <v>0</v>
      </c>
      <c r="H16" s="296">
        <f ca="1">SUMIF(JUN!$C$11:$F$41,'Mov x Buque'!B16,JUN!$E$11:$F$41)</f>
        <v>0</v>
      </c>
      <c r="I16" s="296">
        <f ca="1">SUMIF(JUL!$C$10:$F$44,'Mov x Buque'!B16,JUL!$E$10:$F$44)</f>
        <v>0</v>
      </c>
      <c r="J16" s="296">
        <f ca="1">SUMIF(AGO!$C$6:$F$51,'Mov x Buque'!B16,AGO!$E$6:$F$51)</f>
        <v>0</v>
      </c>
      <c r="K16" s="296">
        <f ca="1">SUMIF(SEP!$C$11:$F$76,B16,SEP!$E$11:$F$76)</f>
        <v>0</v>
      </c>
      <c r="L16" s="296">
        <f ca="1">SUMIF(OCT!$C$10:$F$45,B16,OCT!$E$10:$F$45)</f>
        <v>0</v>
      </c>
      <c r="M16" s="296">
        <f ca="1">SUMIF(NOV!$D$9:$G$39,B16,NOV!$F$9:$G$39)</f>
        <v>0</v>
      </c>
      <c r="N16" s="296">
        <f ca="1">SUMIF(DIC!$C$9:$F$51,B16:B55,DIC!$E$9:$F$51)</f>
        <v>0</v>
      </c>
      <c r="O16" s="278">
        <f t="shared" ca="1" si="0"/>
        <v>0</v>
      </c>
      <c r="Q16" s="277"/>
    </row>
    <row r="17" spans="2:17" s="275" customFormat="1" ht="15" customHeight="1">
      <c r="B17" s="282" t="s">
        <v>101</v>
      </c>
      <c r="C17" s="296">
        <f ca="1">SUMIF(ENE!$D$11:$G$43,B17:B39,ENE!$F$11:$G$43)</f>
        <v>0</v>
      </c>
      <c r="D17" s="296">
        <f ca="1">SUMIF(FEB!$C$11:$F$47,'Mov x Buque'!B17,FEB!$E$11:$F$47)</f>
        <v>0</v>
      </c>
      <c r="E17" s="296">
        <f ca="1">SUMIF(MAR!$C$11:$F$44,'Mov x Buque'!B17,MAR!$E$11:$F$44)</f>
        <v>0</v>
      </c>
      <c r="F17" s="296">
        <f ca="1">SUMIF(ABR!$C$11:$F$48,'Mov x Buque'!B17,ABR!$E$11:$F$48)</f>
        <v>0</v>
      </c>
      <c r="G17" s="296">
        <f ca="1">SUMIF(MAY!$C$11:$F$51,'Mov x Buque'!B17,MAY!$E$11:$F$51)</f>
        <v>0</v>
      </c>
      <c r="H17" s="296">
        <f ca="1">SUMIF(JUN!$C$11:$F$41,'Mov x Buque'!B17,JUN!$E$11:$F$41)</f>
        <v>0</v>
      </c>
      <c r="I17" s="296">
        <f ca="1">SUMIF(JUL!$C$10:$F$44,'Mov x Buque'!B17,JUL!$E$10:$F$44)</f>
        <v>0</v>
      </c>
      <c r="J17" s="296">
        <f ca="1">SUMIF(AGO!$C$6:$F$51,'Mov x Buque'!B17,AGO!$E$6:$F$51)</f>
        <v>0</v>
      </c>
      <c r="K17" s="296">
        <f ca="1">SUMIF(SEP!$C$11:$F$76,B17,SEP!$E$11:$F$76)</f>
        <v>0</v>
      </c>
      <c r="L17" s="296">
        <f ca="1">SUMIF(OCT!$C$10:$F$45,B17,OCT!$E$10:$F$45)</f>
        <v>0</v>
      </c>
      <c r="M17" s="296">
        <f ca="1">SUMIF(NOV!$D$9:$G$39,B17,NOV!$F$9:$G$39)</f>
        <v>0</v>
      </c>
      <c r="N17" s="296">
        <f ca="1">SUMIF(DIC!$C$9:$F$51,B17:B56,DIC!$E$9:$F$51)</f>
        <v>0</v>
      </c>
      <c r="O17" s="278">
        <f t="shared" ca="1" si="0"/>
        <v>0</v>
      </c>
      <c r="Q17" s="277"/>
    </row>
    <row r="18" spans="2:17" s="275" customFormat="1" ht="15" customHeight="1">
      <c r="B18" s="283" t="s">
        <v>102</v>
      </c>
      <c r="C18" s="296">
        <f ca="1">SUMIF(ENE!$D$11:$G$43,B18:B39,ENE!$F$11:$G$43)</f>
        <v>0</v>
      </c>
      <c r="D18" s="296">
        <f ca="1">SUMIF(FEB!$C$11:$F$47,'Mov x Buque'!B18,FEB!$E$11:$F$47)</f>
        <v>0</v>
      </c>
      <c r="E18" s="296">
        <f ca="1">SUMIF(MAR!$C$11:$F$44,'Mov x Buque'!B18,MAR!$E$11:$F$44)</f>
        <v>0</v>
      </c>
      <c r="F18" s="296">
        <f ca="1">SUMIF(ABR!$C$11:$F$48,'Mov x Buque'!B18,ABR!$E$11:$F$48)</f>
        <v>0</v>
      </c>
      <c r="G18" s="296">
        <f ca="1">SUMIF(MAY!$C$11:$F$51,'Mov x Buque'!B18,MAY!$E$11:$F$51)</f>
        <v>0</v>
      </c>
      <c r="H18" s="296">
        <f ca="1">SUMIF(JUN!$C$11:$F$41,'Mov x Buque'!B18,JUN!$E$11:$F$41)</f>
        <v>0</v>
      </c>
      <c r="I18" s="296">
        <f ca="1">SUMIF(JUL!$C$10:$F$44,'Mov x Buque'!B18,JUL!$E$10:$F$44)</f>
        <v>0</v>
      </c>
      <c r="J18" s="296">
        <f ca="1">SUMIF(AGO!$C$6:$F$51,'Mov x Buque'!B18,AGO!$E$6:$F$51)</f>
        <v>0</v>
      </c>
      <c r="K18" s="296">
        <f ca="1">SUMIF(SEP!$C$11:$F$76,B18,SEP!$E$11:$F$76)</f>
        <v>0</v>
      </c>
      <c r="L18" s="296">
        <f ca="1">SUMIF(OCT!$C$10:$F$45,B18,OCT!$E$10:$F$45)</f>
        <v>0</v>
      </c>
      <c r="M18" s="296">
        <f ca="1">SUMIF(NOV!$D$9:$G$39,B18,NOV!$F$9:$G$39)</f>
        <v>0</v>
      </c>
      <c r="N18" s="296">
        <f ca="1">SUMIF(DIC!$C$9:$F$51,B18:B38,DIC!$E$9:$F$51)</f>
        <v>0</v>
      </c>
      <c r="O18" s="278">
        <f t="shared" ca="1" si="0"/>
        <v>0</v>
      </c>
    </row>
    <row r="19" spans="2:17" s="275" customFormat="1" ht="15" customHeight="1">
      <c r="B19" s="281" t="s">
        <v>103</v>
      </c>
      <c r="C19" s="296">
        <f ca="1">SUMIF(ENE!$D$11:$G$43,B19:B38,ENE!$F$11:$G$43)</f>
        <v>130080</v>
      </c>
      <c r="D19" s="296">
        <f ca="1">SUMIF(FEB!$C$11:$F$47,'Mov x Buque'!B19,FEB!$E$11:$F$47)</f>
        <v>0</v>
      </c>
      <c r="E19" s="296">
        <f ca="1">SUMIF(MAR!$C$11:$F$44,'Mov x Buque'!B19,MAR!$E$11:$F$44)</f>
        <v>0</v>
      </c>
      <c r="F19" s="296">
        <f ca="1">SUMIF(ABR!$C$11:$F$48,'Mov x Buque'!B19,ABR!$E$11:$F$48)</f>
        <v>0</v>
      </c>
      <c r="G19" s="296">
        <f ca="1">SUMIF(MAY!$C$11:$F$51,'Mov x Buque'!B19,MAY!$E$11:$F$51)</f>
        <v>0</v>
      </c>
      <c r="H19" s="296">
        <f ca="1">SUMIF(JUN!$C$11:$F$41,'Mov x Buque'!B19,JUN!$E$11:$F$41)</f>
        <v>32460</v>
      </c>
      <c r="I19" s="296">
        <f ca="1">SUMIF(JUL!$C$10:$F$44,'Mov x Buque'!B19,JUL!$E$10:$F$44)</f>
        <v>79470</v>
      </c>
      <c r="J19" s="296">
        <f ca="1">SUMIF(AGO!$C$6:$F$51,'Mov x Buque'!B19,AGO!$E$6:$F$51)</f>
        <v>41400</v>
      </c>
      <c r="K19" s="296">
        <f ca="1">SUMIF(SEP!$C$11:$F$76,B19,SEP!$E$11:$F$76)</f>
        <v>0</v>
      </c>
      <c r="L19" s="296">
        <f ca="1">SUMIF(OCT!$C$10:$F$45,B19,OCT!$E$10:$F$45)</f>
        <v>0</v>
      </c>
      <c r="M19" s="296">
        <f ca="1">SUMIF(NOV!$D$9:$G$39,B19,NOV!$F$9:$G$39)</f>
        <v>0</v>
      </c>
      <c r="N19" s="296">
        <f ca="1">SUMIF(DIC!$C$9:$F$51,B19:B39,DIC!$E$9:$F$51)</f>
        <v>0</v>
      </c>
      <c r="O19" s="278">
        <f ca="1">SUM(C19:N19)</f>
        <v>283410</v>
      </c>
    </row>
    <row r="20" spans="2:17" s="275" customFormat="1" ht="15" customHeight="1">
      <c r="B20" s="275" t="s">
        <v>104</v>
      </c>
      <c r="C20" s="296">
        <f ca="1">SUMIF(ENE!$D$11:$G$43,B20:B42,ENE!$F$11:$G$43)</f>
        <v>0</v>
      </c>
      <c r="D20" s="296">
        <f ca="1">SUMIF(FEB!$C$11:$F$47,'Mov x Buque'!B20,FEB!$E$11:$F$47)</f>
        <v>0</v>
      </c>
      <c r="E20" s="296">
        <f ca="1">SUMIF(MAR!$C$11:$F$44,'Mov x Buque'!B20,MAR!$E$11:$F$44)</f>
        <v>0</v>
      </c>
      <c r="F20" s="296">
        <f ca="1">SUMIF(ABR!$C$11:$F$48,'Mov x Buque'!B20,ABR!$E$11:$F$48)</f>
        <v>0</v>
      </c>
      <c r="G20" s="296">
        <f ca="1">SUMIF(MAY!$C$11:$F$51,'Mov x Buque'!B20,MAY!$E$11:$F$51)</f>
        <v>0</v>
      </c>
      <c r="H20" s="296">
        <f ca="1">SUMIF(JUN!$C$11:$F$41,'Mov x Buque'!B20,JUN!$E$11:$F$41)</f>
        <v>0</v>
      </c>
      <c r="I20" s="296">
        <f ca="1">SUMIF(JUL!$C$10:$F$44,'Mov x Buque'!B20,JUL!$E$10:$F$44)</f>
        <v>0</v>
      </c>
      <c r="J20" s="296">
        <f ca="1">SUMIF(AGO!$C$6:$F$51,'Mov x Buque'!B20,AGO!$E$6:$F$51)</f>
        <v>0</v>
      </c>
      <c r="K20" s="296">
        <f ca="1">SUMIF(SEP!$C$11:$F$76,B20,SEP!$E$11:$F$76)</f>
        <v>0</v>
      </c>
      <c r="L20" s="296">
        <f ca="1">SUMIF(OCT!$C$10:$F$45,B20,OCT!$E$10:$F$45)</f>
        <v>0</v>
      </c>
      <c r="M20" s="296">
        <f ca="1">SUMIF(NOV!$D$9:$G$39,B20,NOV!$F$9:$G$39)</f>
        <v>0</v>
      </c>
      <c r="N20" s="296">
        <f ca="1">SUMIF(DIC!$C$9:$F$51,B20:B49,DIC!$E$9:$F$51)</f>
        <v>0</v>
      </c>
      <c r="O20" s="278">
        <f t="shared" ca="1" si="0"/>
        <v>0</v>
      </c>
    </row>
    <row r="21" spans="2:17" s="275" customFormat="1" ht="15" customHeight="1">
      <c r="B21" s="284" t="s">
        <v>105</v>
      </c>
      <c r="C21" s="296">
        <f ca="1">SUMIF(ENE!$D$11:$G$43,B21:B45,ENE!$F$11:$G$43)</f>
        <v>0</v>
      </c>
      <c r="D21" s="296">
        <f ca="1">SUMIF(FEB!$C$11:$F$47,'Mov x Buque'!B21,FEB!$E$11:$F$47)</f>
        <v>0</v>
      </c>
      <c r="E21" s="296">
        <f ca="1">SUMIF(MAR!$C$11:$F$44,'Mov x Buque'!B21,MAR!$E$11:$F$44)</f>
        <v>0</v>
      </c>
      <c r="F21" s="296">
        <f ca="1">SUMIF(ABR!$C$11:$F$48,'Mov x Buque'!B21,ABR!$E$11:$F$48)</f>
        <v>0</v>
      </c>
      <c r="G21" s="296">
        <f ca="1">SUMIF(MAY!$C$11:$F$51,'Mov x Buque'!B21,MAY!$E$11:$F$51)</f>
        <v>0</v>
      </c>
      <c r="H21" s="296">
        <f ca="1">SUMIF(JUN!$C$11:$F$41,'Mov x Buque'!B21,JUN!$E$11:$F$41)</f>
        <v>0</v>
      </c>
      <c r="I21" s="296">
        <f ca="1">SUMIF(JUL!$C$10:$F$44,'Mov x Buque'!B21,JUL!$E$10:$F$44)</f>
        <v>0</v>
      </c>
      <c r="J21" s="296">
        <f ca="1">SUMIF(AGO!$C$6:$F$51,'Mov x Buque'!B21,AGO!$E$6:$F$51)</f>
        <v>0</v>
      </c>
      <c r="K21" s="296">
        <f ca="1">SUMIF(SEP!$C$11:$F$76,B21,SEP!$E$11:$F$76)</f>
        <v>0</v>
      </c>
      <c r="L21" s="296">
        <f ca="1">SUMIF(OCT!$C$10:$F$45,B21,OCT!$E$10:$F$45)</f>
        <v>0</v>
      </c>
      <c r="M21" s="296">
        <f ca="1">SUMIF(NOV!$D$9:$G$39,B21,NOV!$F$9:$G$39)</f>
        <v>0</v>
      </c>
      <c r="N21" s="296">
        <f ca="1">SUMIF(DIC!$C$9:$F$51,B21:B50,DIC!$E$9:$F$51)</f>
        <v>0</v>
      </c>
      <c r="O21" s="278">
        <f t="shared" ca="1" si="0"/>
        <v>0</v>
      </c>
    </row>
    <row r="22" spans="2:17" s="275" customFormat="1" ht="15" customHeight="1">
      <c r="B22" s="285" t="s">
        <v>106</v>
      </c>
      <c r="C22" s="296">
        <f ca="1">SUMIF(ENE!$D$11:$G$43,B14:B37,ENE!$F$11:$G$43)</f>
        <v>30450</v>
      </c>
      <c r="D22" s="296">
        <f ca="1">SUMIF(FEB!$C$11:$F$47,'Mov x Buque'!B22,FEB!$E$11:$F$47)</f>
        <v>0</v>
      </c>
      <c r="E22" s="296">
        <f ca="1">SUMIF(MAR!$C$11:$F$44,'Mov x Buque'!B22,MAR!$E$11:$F$44)</f>
        <v>78060</v>
      </c>
      <c r="F22" s="296">
        <f ca="1">SUMIF(ABR!$C$11:$F$48,'Mov x Buque'!B22,ABR!$E$11:$F$48)</f>
        <v>0</v>
      </c>
      <c r="G22" s="296">
        <f ca="1">SUMIF(MAY!$C$11:$F$51,'Mov x Buque'!B22,MAY!$E$11:$F$51)</f>
        <v>0</v>
      </c>
      <c r="H22" s="296">
        <f ca="1">SUMIF(JUN!$C$11:$F$41,'Mov x Buque'!B22,JUN!$E$11:$F$41)</f>
        <v>0</v>
      </c>
      <c r="I22" s="296">
        <f ca="1">SUMIF(JUL!$C$10:$F$44,'Mov x Buque'!B22,JUL!$E$10:$F$44)</f>
        <v>0</v>
      </c>
      <c r="J22" s="296">
        <f ca="1">SUMIF(AGO!$C$6:$F$51,'Mov x Buque'!B22,AGO!$E$6:$F$51)</f>
        <v>0</v>
      </c>
      <c r="K22" s="296">
        <f ca="1">SUMIF(SEP!$C$11:$F$76,B22,SEP!$E$11:$F$76)</f>
        <v>54870</v>
      </c>
      <c r="L22" s="296">
        <f ca="1">SUMIF(OCT!$C$10:$F$45,B22,OCT!$E$10:$F$45)</f>
        <v>0</v>
      </c>
      <c r="M22" s="296">
        <f ca="1">SUMIF(NOV!$D$9:$G$39,B22,NOV!$F$9:$G$39)</f>
        <v>0</v>
      </c>
      <c r="N22" s="296">
        <f ca="1">SUMIF(DIC!$C$9:$F$51,B22:B51,DIC!$E$9:$F$51)</f>
        <v>0</v>
      </c>
      <c r="O22" s="278">
        <f t="shared" ca="1" si="0"/>
        <v>163380</v>
      </c>
    </row>
    <row r="23" spans="2:17" s="275" customFormat="1" ht="15" customHeight="1">
      <c r="B23" s="286" t="s">
        <v>107</v>
      </c>
      <c r="C23" s="296">
        <f ca="1">SUMIF(ENE!$D$11:$G$43,B15:B38,ENE!$F$11:$G$43)</f>
        <v>0</v>
      </c>
      <c r="D23" s="296">
        <f ca="1">SUMIF(FEB!$C$11:$F$47,'Mov x Buque'!B23,FEB!$E$11:$F$47)</f>
        <v>0</v>
      </c>
      <c r="E23" s="296">
        <f ca="1">SUMIF(MAR!$C$11:$F$44,'Mov x Buque'!B23,MAR!$E$11:$F$44)</f>
        <v>0</v>
      </c>
      <c r="F23" s="296">
        <f ca="1">SUMIF(ABR!$C$11:$F$48,'Mov x Buque'!B23,ABR!$E$11:$F$48)</f>
        <v>0</v>
      </c>
      <c r="G23" s="296">
        <f ca="1">SUMIF(MAY!$C$11:$F$51,'Mov x Buque'!B23,MAY!$E$11:$F$51)</f>
        <v>0</v>
      </c>
      <c r="H23" s="296">
        <f ca="1">SUMIF(JUN!$C$11:$F$41,'Mov x Buque'!B23,JUN!$E$11:$F$41)</f>
        <v>0</v>
      </c>
      <c r="I23" s="296">
        <f ca="1">SUMIF(JUL!$C$10:$F$44,'Mov x Buque'!B23,JUL!$E$10:$F$44)</f>
        <v>0</v>
      </c>
      <c r="J23" s="296">
        <f ca="1">SUMIF(AGO!$C$6:$F$51,'Mov x Buque'!B23,AGO!$E$6:$F$51)</f>
        <v>0</v>
      </c>
      <c r="K23" s="296">
        <f ca="1">SUMIF(SEP!$C$11:$F$76,B23,SEP!$E$11:$F$76)</f>
        <v>0</v>
      </c>
      <c r="L23" s="296">
        <f ca="1">SUMIF(OCT!$C$10:$F$45,B23,OCT!$E$10:$F$45)</f>
        <v>0</v>
      </c>
      <c r="M23" s="296">
        <f ca="1">SUMIF(NOV!$D$9:$G$39,B23,NOV!$F$9:$G$39)</f>
        <v>0</v>
      </c>
      <c r="N23" s="296">
        <f ca="1">SUMIF(DIC!$C$9:$F$51,B23:B60,DIC!$E$9:$F$51)</f>
        <v>0</v>
      </c>
      <c r="O23" s="278">
        <f t="shared" ca="1" si="0"/>
        <v>0</v>
      </c>
    </row>
    <row r="24" spans="2:17" s="275" customFormat="1" ht="15" customHeight="1">
      <c r="B24" s="286" t="s">
        <v>108</v>
      </c>
      <c r="C24" s="296">
        <f ca="1">SUMIF(ENE!$D$11:$G$43,B16:B39,ENE!$F$11:$G$43)</f>
        <v>0</v>
      </c>
      <c r="D24" s="296">
        <f ca="1">SUMIF(FEB!$C$11:$F$47,'Mov x Buque'!B24,FEB!$E$11:$F$47)</f>
        <v>0</v>
      </c>
      <c r="E24" s="296">
        <f ca="1">SUMIF(MAR!$C$11:$F$44,'Mov x Buque'!B24,MAR!$E$11:$F$44)</f>
        <v>0</v>
      </c>
      <c r="F24" s="296">
        <f ca="1">SUMIF(ABR!$C$11:$F$48,'Mov x Buque'!B24,ABR!$E$11:$F$48)</f>
        <v>0</v>
      </c>
      <c r="G24" s="296">
        <f ca="1">SUMIF(MAY!$C$11:$F$51,'Mov x Buque'!B24,MAY!$E$11:$F$51)</f>
        <v>0</v>
      </c>
      <c r="H24" s="296">
        <f ca="1">SUMIF(JUN!$C$11:$F$41,'Mov x Buque'!B24,JUN!$E$11:$F$41)</f>
        <v>0</v>
      </c>
      <c r="I24" s="296">
        <f ca="1">SUMIF(JUL!$C$10:$F$44,'Mov x Buque'!B24,JUL!$E$10:$F$44)</f>
        <v>0</v>
      </c>
      <c r="J24" s="296">
        <f ca="1">SUMIF(AGO!$C$6:$F$51,'Mov x Buque'!B24,AGO!$E$6:$F$51)</f>
        <v>0</v>
      </c>
      <c r="K24" s="296">
        <f ca="1">SUMIF(SEP!$C$11:$F$76,B24,SEP!$E$11:$F$76)</f>
        <v>0</v>
      </c>
      <c r="L24" s="296">
        <f ca="1">SUMIF(OCT!$C$10:$F$45,B24,OCT!$E$10:$F$45)</f>
        <v>0</v>
      </c>
      <c r="M24" s="296">
        <f ca="1">SUMIF(NOV!$D$9:$G$39,B24,NOV!$F$9:$G$39)</f>
        <v>0</v>
      </c>
      <c r="N24" s="296">
        <f ca="1">SUMIF(DIC!$C$9:$F$51,B24:B61,DIC!$E$9:$F$51)</f>
        <v>0</v>
      </c>
      <c r="O24" s="278">
        <f t="shared" ca="1" si="0"/>
        <v>0</v>
      </c>
    </row>
    <row r="25" spans="2:17" s="275" customFormat="1" ht="15" customHeight="1">
      <c r="B25" s="286" t="s">
        <v>109</v>
      </c>
      <c r="C25" s="296">
        <f ca="1">SUMIF(ENE!$D$11:$G$43,B17:B40,ENE!$F$11:$G$43)</f>
        <v>0</v>
      </c>
      <c r="D25" s="296">
        <f ca="1">SUMIF(FEB!$C$11:$F$47,'Mov x Buque'!B25,FEB!$E$11:$F$47)</f>
        <v>0</v>
      </c>
      <c r="E25" s="296">
        <f ca="1">SUMIF(MAR!$C$11:$F$44,'Mov x Buque'!B25,MAR!$E$11:$F$44)</f>
        <v>0</v>
      </c>
      <c r="F25" s="296">
        <f ca="1">SUMIF(ABR!$C$11:$F$48,'Mov x Buque'!B25,ABR!$E$11:$F$48)</f>
        <v>0</v>
      </c>
      <c r="G25" s="296">
        <f ca="1">SUMIF(MAY!$C$11:$F$51,'Mov x Buque'!B25,MAY!$E$11:$F$51)</f>
        <v>0</v>
      </c>
      <c r="H25" s="296">
        <f ca="1">SUMIF(JUN!$C$11:$F$41,'Mov x Buque'!B25,JUN!$E$11:$F$41)</f>
        <v>0</v>
      </c>
      <c r="I25" s="296">
        <f ca="1">SUMIF(JUL!$C$10:$F$44,'Mov x Buque'!B25,JUL!$E$10:$F$44)</f>
        <v>0</v>
      </c>
      <c r="J25" s="296">
        <f ca="1">SUMIF(AGO!$C$6:$F$51,'Mov x Buque'!B25,AGO!$E$6:$F$51)</f>
        <v>0</v>
      </c>
      <c r="K25" s="296">
        <f ca="1">SUMIF(SEP!$C$11:$F$76,B25,SEP!$E$11:$F$76)</f>
        <v>0</v>
      </c>
      <c r="L25" s="296">
        <f ca="1">SUMIF(OCT!$C$10:$F$45,B25,OCT!$E$10:$F$45)</f>
        <v>0</v>
      </c>
      <c r="M25" s="296">
        <f ca="1">SUMIF(NOV!$D$9:$G$39,B25,NOV!$F$9:$G$39)</f>
        <v>0</v>
      </c>
      <c r="N25" s="296">
        <f ca="1">SUMIF(DIC!$C$9:$F$51,B25:B62,DIC!$E$9:$F$51)</f>
        <v>0</v>
      </c>
      <c r="O25" s="278">
        <f t="shared" ca="1" si="0"/>
        <v>0</v>
      </c>
    </row>
    <row r="26" spans="2:17" s="275" customFormat="1" ht="15" customHeight="1">
      <c r="B26" s="286" t="s">
        <v>110</v>
      </c>
      <c r="C26" s="296">
        <f ca="1">SUMIF(ENE!$D$11:$G$43,B18:B41,ENE!$F$11:$G$43)</f>
        <v>0</v>
      </c>
      <c r="D26" s="296">
        <f ca="1">SUMIF(FEB!$C$11:$F$47,'Mov x Buque'!B26,FEB!$E$11:$F$47)</f>
        <v>0</v>
      </c>
      <c r="E26" s="296">
        <f ca="1">SUMIF(MAR!$C$11:$F$44,'Mov x Buque'!B26,MAR!$E$11:$F$44)</f>
        <v>0</v>
      </c>
      <c r="F26" s="296">
        <f ca="1">SUMIF(ABR!$C$11:$F$48,'Mov x Buque'!B26,ABR!$E$11:$F$48)</f>
        <v>0</v>
      </c>
      <c r="G26" s="296">
        <f ca="1">SUMIF(MAY!$C$11:$F$51,'Mov x Buque'!B26,MAY!$E$11:$F$51)</f>
        <v>0</v>
      </c>
      <c r="H26" s="296">
        <f ca="1">SUMIF(JUN!$C$11:$F$41,'Mov x Buque'!B26,JUN!$E$11:$F$41)</f>
        <v>0</v>
      </c>
      <c r="I26" s="296">
        <f ca="1">SUMIF(JUL!$C$10:$F$44,'Mov x Buque'!B26,JUL!$E$10:$F$44)</f>
        <v>0</v>
      </c>
      <c r="J26" s="296">
        <f ca="1">SUMIF(AGO!$C$6:$F$51,'Mov x Buque'!B26,AGO!$E$6:$F$51)</f>
        <v>0</v>
      </c>
      <c r="K26" s="296">
        <f ca="1">SUMIF(SEP!$C$11:$F$76,B26,SEP!$E$11:$F$76)</f>
        <v>0</v>
      </c>
      <c r="L26" s="296">
        <f ca="1">SUMIF(OCT!$C$10:$F$45,B26,OCT!$E$10:$F$45)</f>
        <v>0</v>
      </c>
      <c r="M26" s="296">
        <f ca="1">SUMIF(NOV!$D$9:$G$39,B26,NOV!$F$9:$G$39)</f>
        <v>0</v>
      </c>
      <c r="N26" s="296">
        <f ca="1">SUMIF(DIC!$C$9:$F$51,B26:B63,DIC!$E$9:$F$51)</f>
        <v>0</v>
      </c>
      <c r="O26" s="278">
        <f t="shared" ca="1" si="0"/>
        <v>0</v>
      </c>
    </row>
    <row r="27" spans="2:17" s="275" customFormat="1" ht="15" customHeight="1">
      <c r="B27" s="275" t="s">
        <v>111</v>
      </c>
      <c r="C27" s="296">
        <f ca="1">SUMIF(ENE!$D$11:$G$43,B27:B49,ENE!$F$11:$G$43)</f>
        <v>0</v>
      </c>
      <c r="D27" s="296">
        <f ca="1">SUMIF(FEB!$C$11:$F$47,'Mov x Buque'!B27,FEB!$E$11:$F$47)</f>
        <v>0</v>
      </c>
      <c r="E27" s="296">
        <f ca="1">SUMIF(MAR!$C$11:$F$44,'Mov x Buque'!B27,MAR!$E$11:$F$44)</f>
        <v>0</v>
      </c>
      <c r="F27" s="296">
        <f ca="1">SUMIF(ABR!$C$11:$F$48,'Mov x Buque'!B27,ABR!$E$11:$F$48)</f>
        <v>0</v>
      </c>
      <c r="G27" s="296">
        <f ca="1">SUMIF(MAY!$C$11:$F$51,'Mov x Buque'!B27,MAY!$E$11:$F$51)</f>
        <v>0</v>
      </c>
      <c r="H27" s="296">
        <f ca="1">SUMIF(JUN!$C$11:$F$41,'Mov x Buque'!B27,JUN!$E$11:$F$41)</f>
        <v>0</v>
      </c>
      <c r="I27" s="296">
        <f ca="1">SUMIF(JUL!$C$10:$F$44,'Mov x Buque'!B27,JUL!$E$10:$F$44)</f>
        <v>0</v>
      </c>
      <c r="J27" s="296">
        <f ca="1">SUMIF(AGO!$C$6:$F$51,'Mov x Buque'!B27,AGO!$E$6:$F$51)</f>
        <v>0</v>
      </c>
      <c r="K27" s="296">
        <f ca="1">SUMIF(SEP!$C$11:$F$76,B27,SEP!$E$11:$F$76)</f>
        <v>0</v>
      </c>
      <c r="L27" s="296">
        <f ca="1">SUMIF(OCT!$C$10:$F$45,B27,OCT!$E$10:$F$45)</f>
        <v>0</v>
      </c>
      <c r="M27" s="296">
        <f ca="1">SUMIF(NOV!$D$9:$G$39,B27,NOV!$F$9:$G$39)</f>
        <v>0</v>
      </c>
      <c r="N27" s="296">
        <f ca="1">SUMIF(DIC!$C$9:$F$51,B27:B61,DIC!$E$9:$F$51)</f>
        <v>0</v>
      </c>
      <c r="O27" s="278">
        <f t="shared" ca="1" si="0"/>
        <v>0</v>
      </c>
    </row>
    <row r="28" spans="2:17" s="275" customFormat="1" ht="15" customHeight="1">
      <c r="B28" s="284" t="s">
        <v>112</v>
      </c>
      <c r="C28" s="296">
        <f ca="1">SUMIF(ENE!$D$11:$G$43,B28:B50,ENE!$F$11:$G$43)</f>
        <v>0</v>
      </c>
      <c r="D28" s="296">
        <f ca="1">SUMIF(FEB!$C$11:$F$47,'Mov x Buque'!B28,FEB!$E$11:$F$47)</f>
        <v>0</v>
      </c>
      <c r="E28" s="296">
        <f ca="1">SUMIF(MAR!$C$11:$F$44,'Mov x Buque'!B28,MAR!$E$11:$F$44)</f>
        <v>0</v>
      </c>
      <c r="F28" s="296">
        <f ca="1">SUMIF(ABR!$C$11:$F$48,'Mov x Buque'!B28,ABR!$E$11:$F$48)</f>
        <v>0</v>
      </c>
      <c r="G28" s="296">
        <f ca="1">SUMIF(MAY!$C$11:$F$51,'Mov x Buque'!B28,MAY!$E$11:$F$51)</f>
        <v>0</v>
      </c>
      <c r="H28" s="296">
        <f ca="1">SUMIF(JUN!$C$11:$F$41,'Mov x Buque'!B28,JUN!$E$11:$F$41)</f>
        <v>0</v>
      </c>
      <c r="I28" s="296">
        <f ca="1">SUMIF(JUL!$C$10:$F$44,'Mov x Buque'!B28,JUL!$E$10:$F$44)</f>
        <v>0</v>
      </c>
      <c r="J28" s="296">
        <f ca="1">SUMIF(AGO!$C$6:$F$51,'Mov x Buque'!B28,AGO!$E$6:$F$51)</f>
        <v>0</v>
      </c>
      <c r="K28" s="296">
        <f ca="1">SUMIF(SEP!$C$11:$F$76,B28,SEP!$E$11:$F$76)</f>
        <v>0</v>
      </c>
      <c r="L28" s="296">
        <f ca="1">SUMIF(OCT!$C$10:$F$45,B28,OCT!$E$10:$F$45)</f>
        <v>0</v>
      </c>
      <c r="M28" s="296">
        <f ca="1">SUMIF(NOV!$D$9:$G$39,B28,NOV!$F$9:$G$39)</f>
        <v>0</v>
      </c>
      <c r="N28" s="296">
        <f ca="1">SUMIF(DIC!$C$9:$F$51,B28:B62,DIC!$E$9:$F$51)</f>
        <v>0</v>
      </c>
      <c r="O28" s="278">
        <f t="shared" ca="1" si="0"/>
        <v>0</v>
      </c>
    </row>
    <row r="29" spans="2:17" s="275" customFormat="1" ht="15" customHeight="1">
      <c r="B29" s="287" t="s">
        <v>113</v>
      </c>
      <c r="C29" s="296">
        <f ca="1">SUMIF(ENE!$D$11:$G$43,B29:B50,ENE!$F$11:$G$43)</f>
        <v>0</v>
      </c>
      <c r="D29" s="296">
        <f ca="1">SUMIF(FEB!$C$11:$F$47,'Mov x Buque'!B29,FEB!$E$11:$F$47)</f>
        <v>0</v>
      </c>
      <c r="E29" s="296">
        <f ca="1">SUMIF(MAR!$C$11:$F$44,'Mov x Buque'!B29,MAR!$E$11:$F$44)</f>
        <v>0</v>
      </c>
      <c r="F29" s="296">
        <f ca="1">SUMIF(ABR!$C$11:$F$48,'Mov x Buque'!B29,ABR!$E$11:$F$48)</f>
        <v>0</v>
      </c>
      <c r="G29" s="296">
        <f ca="1">SUMIF(MAY!$C$11:$F$51,'Mov x Buque'!B29,MAY!$E$11:$F$51)</f>
        <v>0</v>
      </c>
      <c r="H29" s="296">
        <f ca="1">SUMIF(JUN!$C$11:$F$41,'Mov x Buque'!B29,JUN!$E$11:$F$41)</f>
        <v>0</v>
      </c>
      <c r="I29" s="296">
        <f ca="1">SUMIF(JUL!$C$10:$F$44,'Mov x Buque'!B29,JUL!$E$10:$F$44)</f>
        <v>0</v>
      </c>
      <c r="J29" s="296">
        <f ca="1">SUMIF(AGO!$C$6:$F$51,'Mov x Buque'!B29,AGO!$E$6:$F$51)</f>
        <v>0</v>
      </c>
      <c r="K29" s="296">
        <f ca="1">SUMIF(SEP!$C$11:$F$76,B29,SEP!$E$11:$F$76)</f>
        <v>0</v>
      </c>
      <c r="L29" s="296">
        <f ca="1">SUMIF(OCT!$C$10:$F$45,B29,OCT!$E$10:$F$45)</f>
        <v>0</v>
      </c>
      <c r="M29" s="296">
        <f ca="1">SUMIF(NOV!$D$9:$G$39,B29,NOV!$F$9:$G$39)</f>
        <v>0</v>
      </c>
      <c r="N29" s="296">
        <f ca="1">SUMIF(DIC!$C$9:$F$51,B29:B64,DIC!$E$9:$F$51)</f>
        <v>0</v>
      </c>
      <c r="O29" s="278">
        <f t="shared" ca="1" si="0"/>
        <v>0</v>
      </c>
    </row>
    <row r="30" spans="2:17" s="275" customFormat="1" ht="15" customHeight="1">
      <c r="B30" s="288" t="s">
        <v>114</v>
      </c>
      <c r="C30" s="296">
        <f ca="1">SUMIF(ENE!$D$11:$G$43,B30:B51,ENE!$F$11:$G$43)</f>
        <v>0</v>
      </c>
      <c r="D30" s="296">
        <f ca="1">SUMIF(FEB!$C$11:$F$47,'Mov x Buque'!B30,FEB!$E$11:$F$47)</f>
        <v>0</v>
      </c>
      <c r="E30" s="296">
        <f ca="1">SUMIF(MAR!$C$11:$F$44,'Mov x Buque'!B30,MAR!$E$11:$F$44)</f>
        <v>0</v>
      </c>
      <c r="F30" s="296">
        <f ca="1">SUMIF(ABR!$C$11:$F$48,'Mov x Buque'!B30,ABR!$E$11:$F$48)</f>
        <v>0</v>
      </c>
      <c r="G30" s="296">
        <f ca="1">SUMIF(MAY!$C$11:$F$51,'Mov x Buque'!B30,MAY!$E$11:$F$51)</f>
        <v>0</v>
      </c>
      <c r="H30" s="296">
        <f ca="1">SUMIF(JUN!$C$11:$F$51,'Mov x Buque'!B30,JUN!$E$11:$F$51)</f>
        <v>0</v>
      </c>
      <c r="I30" s="296">
        <f ca="1">SUMIF(JUL!$C$11:$F$51,'Mov x Buque'!B30,JUL!$E$11:$F$51)</f>
        <v>0</v>
      </c>
      <c r="J30" s="296">
        <f ca="1">SUMIF(AGO!$C$12:$F$58,'Mov x Buque'!B30,AGO!$E$12:$F$58)</f>
        <v>0</v>
      </c>
      <c r="K30" s="296">
        <f ca="1">SUMIF(SEP!$C$11:$F$51,'Mov x Buque'!B30,SEP!$E$11:$F$51)</f>
        <v>0</v>
      </c>
      <c r="L30" s="296">
        <f ca="1">SUMIF(OCT!$C$10:$F$45,B30,OCT!$E$10:$F$45)</f>
        <v>0</v>
      </c>
      <c r="M30" s="296">
        <f ca="1">SUMIF(NOV!$C$11:$F$51,'Mov x Buque'!B30,NOV!$E$11:$F$51)</f>
        <v>0</v>
      </c>
      <c r="N30" s="296">
        <f ca="1">SUMIF(DIC!$C$9:$F$51,B30:B64,DIC!$E$9:$F$51)</f>
        <v>0</v>
      </c>
      <c r="O30" s="278">
        <f ca="1">SUM(C30:N30)</f>
        <v>0</v>
      </c>
    </row>
    <row r="31" spans="2:17" s="275" customFormat="1" ht="15" customHeight="1">
      <c r="B31" s="288" t="s">
        <v>115</v>
      </c>
      <c r="C31" s="296">
        <f ca="1">SUMIF(ENE!$C$11:$F$58,'Mov x Buque'!B31,ENE!$E$11:$F$58)</f>
        <v>0</v>
      </c>
      <c r="D31" s="296">
        <f ca="1">SUMIF(FEB!$C$11:$F$52,'Mov x Buque'!B31,FEB!$E$11:$F$52)</f>
        <v>0</v>
      </c>
      <c r="E31" s="296">
        <f ca="1">SUMIF(MAR!$C$11:$F$50,'Mov x Buque'!B31,MAR!$E$11:$F$50)</f>
        <v>0</v>
      </c>
      <c r="F31" s="296">
        <f ca="1">SUMIF(ABR!$C$11:$F$48,'Mov x Buque'!B31,ABR!$E$11:$F$48)</f>
        <v>0</v>
      </c>
      <c r="G31" s="296">
        <f ca="1">SUMIF(MAY!$C$11:$F$51,'Mov x Buque'!B31,MAY!$E$11:$F$51)</f>
        <v>0</v>
      </c>
      <c r="H31" s="296">
        <v>0</v>
      </c>
      <c r="I31" s="296">
        <v>0</v>
      </c>
      <c r="J31" s="296">
        <v>0</v>
      </c>
      <c r="K31" s="296">
        <v>0</v>
      </c>
      <c r="L31" s="296">
        <v>0</v>
      </c>
      <c r="M31" s="296">
        <f ca="1">SUMIF(NOV!$D$9:$G$39,B31,NOV!$F$9:$G$39)</f>
        <v>0</v>
      </c>
      <c r="N31" s="296">
        <f ca="1">SUMIF(DIC!$C$9:$F$51,B31:B65,DIC!$E$9:$F$51)</f>
        <v>0</v>
      </c>
      <c r="O31" s="278">
        <f ca="1">SUM(C31:N31)</f>
        <v>0</v>
      </c>
    </row>
    <row r="32" spans="2:17" s="275" customFormat="1" ht="20.100000000000001" customHeight="1">
      <c r="B32" s="289" t="s">
        <v>43</v>
      </c>
      <c r="C32" s="290">
        <f t="shared" ref="C32:O32" ca="1" si="1">SUM(C5:C31)</f>
        <v>417870</v>
      </c>
      <c r="D32" s="290">
        <f t="shared" ca="1" si="1"/>
        <v>127800</v>
      </c>
      <c r="E32" s="290">
        <f t="shared" ca="1" si="1"/>
        <v>78060</v>
      </c>
      <c r="F32" s="290">
        <f t="shared" ca="1" si="1"/>
        <v>0</v>
      </c>
      <c r="G32" s="290">
        <f t="shared" ca="1" si="1"/>
        <v>0</v>
      </c>
      <c r="H32" s="290">
        <f t="shared" ca="1" si="1"/>
        <v>32460</v>
      </c>
      <c r="I32" s="290">
        <f t="shared" ca="1" si="1"/>
        <v>79470</v>
      </c>
      <c r="J32" s="290">
        <f t="shared" ca="1" si="1"/>
        <v>41400</v>
      </c>
      <c r="K32" s="290">
        <f t="shared" ca="1" si="1"/>
        <v>146730</v>
      </c>
      <c r="L32" s="290">
        <f t="shared" ca="1" si="1"/>
        <v>53670</v>
      </c>
      <c r="M32" s="290">
        <f t="shared" ca="1" si="1"/>
        <v>173490</v>
      </c>
      <c r="N32" s="290">
        <f t="shared" ca="1" si="1"/>
        <v>59970</v>
      </c>
      <c r="O32" s="290">
        <f t="shared" ca="1" si="1"/>
        <v>1210920</v>
      </c>
      <c r="P32" s="291"/>
    </row>
    <row r="33" spans="2:15" s="105" customFormat="1" ht="20.100000000000001" customHeight="1">
      <c r="B33" s="268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70"/>
    </row>
    <row r="34" spans="2:15" s="105" customFormat="1" ht="20.100000000000001" customHeight="1">
      <c r="D34" s="266"/>
      <c r="O34" s="271"/>
    </row>
    <row r="35" spans="2:15" s="275" customFormat="1" ht="15" customHeight="1">
      <c r="B35" s="292" t="s">
        <v>15</v>
      </c>
      <c r="D35" s="293"/>
      <c r="I35" s="277"/>
      <c r="J35" s="277"/>
      <c r="O35" s="294"/>
    </row>
    <row r="36" spans="2:15" s="275" customFormat="1" ht="15" customHeight="1">
      <c r="B36" s="287" t="s">
        <v>116</v>
      </c>
      <c r="C36" s="296">
        <f ca="1">C29</f>
        <v>0</v>
      </c>
      <c r="D36" s="296">
        <f ca="1">D29</f>
        <v>0</v>
      </c>
      <c r="E36" s="296">
        <v>0</v>
      </c>
      <c r="F36" s="296">
        <v>0</v>
      </c>
      <c r="G36" s="296">
        <f ca="1">G5+G6+G8+G12+G13+G14</f>
        <v>0</v>
      </c>
      <c r="H36" s="296">
        <v>0</v>
      </c>
      <c r="I36" s="296">
        <v>0</v>
      </c>
      <c r="J36" s="296">
        <v>0</v>
      </c>
      <c r="K36" s="296">
        <v>0</v>
      </c>
      <c r="L36" s="296">
        <v>0</v>
      </c>
      <c r="M36" s="296">
        <f ca="1">M29</f>
        <v>0</v>
      </c>
      <c r="N36" s="296">
        <v>0</v>
      </c>
      <c r="O36" s="278">
        <f t="shared" ref="O36:O48" ca="1" si="2">SUM(C36:N36)</f>
        <v>0</v>
      </c>
    </row>
    <row r="37" spans="2:15" s="275" customFormat="1" ht="15" customHeight="1">
      <c r="B37" s="280" t="s">
        <v>117</v>
      </c>
      <c r="C37" s="296">
        <f t="shared" ref="C37:N37" ca="1" si="3">C8+C9+C10+C11+C22</f>
        <v>287790</v>
      </c>
      <c r="D37" s="296">
        <f t="shared" ca="1" si="3"/>
        <v>127800</v>
      </c>
      <c r="E37" s="296">
        <f t="shared" ca="1" si="3"/>
        <v>78060</v>
      </c>
      <c r="F37" s="296">
        <f t="shared" ca="1" si="3"/>
        <v>0</v>
      </c>
      <c r="G37" s="296">
        <f t="shared" ca="1" si="3"/>
        <v>0</v>
      </c>
      <c r="H37" s="296">
        <f t="shared" ca="1" si="3"/>
        <v>0</v>
      </c>
      <c r="I37" s="296">
        <f t="shared" ca="1" si="3"/>
        <v>0</v>
      </c>
      <c r="J37" s="296">
        <f t="shared" ca="1" si="3"/>
        <v>0</v>
      </c>
      <c r="K37" s="296">
        <f t="shared" ca="1" si="3"/>
        <v>146730</v>
      </c>
      <c r="L37" s="296">
        <f t="shared" ca="1" si="3"/>
        <v>0</v>
      </c>
      <c r="M37" s="296">
        <f t="shared" ca="1" si="3"/>
        <v>173490</v>
      </c>
      <c r="N37" s="296">
        <f t="shared" ca="1" si="3"/>
        <v>59970</v>
      </c>
      <c r="O37" s="278">
        <f t="shared" ca="1" si="2"/>
        <v>873840</v>
      </c>
    </row>
    <row r="38" spans="2:15" s="275" customFormat="1" ht="15" customHeight="1">
      <c r="B38" s="284" t="s">
        <v>118</v>
      </c>
      <c r="C38" s="296">
        <f ca="1">C28+C21</f>
        <v>0</v>
      </c>
      <c r="D38" s="296">
        <f ca="1">D28+D21</f>
        <v>0</v>
      </c>
      <c r="E38" s="296">
        <f ca="1">E28+E21</f>
        <v>0</v>
      </c>
      <c r="F38" s="296">
        <f t="shared" ref="F38:N38" ca="1" si="4">F28+F21</f>
        <v>0</v>
      </c>
      <c r="G38" s="296">
        <f t="shared" ca="1" si="4"/>
        <v>0</v>
      </c>
      <c r="H38" s="296">
        <f t="shared" ca="1" si="4"/>
        <v>0</v>
      </c>
      <c r="I38" s="296">
        <f t="shared" ca="1" si="4"/>
        <v>0</v>
      </c>
      <c r="J38" s="296">
        <f t="shared" ca="1" si="4"/>
        <v>0</v>
      </c>
      <c r="K38" s="296">
        <f t="shared" ca="1" si="4"/>
        <v>0</v>
      </c>
      <c r="L38" s="296">
        <f t="shared" ca="1" si="4"/>
        <v>0</v>
      </c>
      <c r="M38" s="296">
        <f t="shared" ca="1" si="4"/>
        <v>0</v>
      </c>
      <c r="N38" s="296">
        <f t="shared" ca="1" si="4"/>
        <v>0</v>
      </c>
      <c r="O38" s="278">
        <f t="shared" ca="1" si="2"/>
        <v>0</v>
      </c>
    </row>
    <row r="39" spans="2:15" s="275" customFormat="1" ht="15" customHeight="1">
      <c r="B39" s="283" t="s">
        <v>119</v>
      </c>
      <c r="C39" s="296">
        <f t="shared" ref="C39:L39" ca="1" si="5">+C18</f>
        <v>0</v>
      </c>
      <c r="D39" s="296">
        <f ca="1">+D18</f>
        <v>0</v>
      </c>
      <c r="E39" s="296">
        <f t="shared" ca="1" si="5"/>
        <v>0</v>
      </c>
      <c r="F39" s="296">
        <f t="shared" ca="1" si="5"/>
        <v>0</v>
      </c>
      <c r="G39" s="296">
        <f t="shared" ca="1" si="5"/>
        <v>0</v>
      </c>
      <c r="H39" s="296">
        <f t="shared" ca="1" si="5"/>
        <v>0</v>
      </c>
      <c r="I39" s="296">
        <f t="shared" ca="1" si="5"/>
        <v>0</v>
      </c>
      <c r="J39" s="296">
        <v>0</v>
      </c>
      <c r="K39" s="296">
        <f t="shared" ca="1" si="5"/>
        <v>0</v>
      </c>
      <c r="L39" s="296">
        <f t="shared" ca="1" si="5"/>
        <v>0</v>
      </c>
      <c r="M39" s="296">
        <f ca="1">M18</f>
        <v>0</v>
      </c>
      <c r="N39" s="296">
        <f ca="1">N18</f>
        <v>0</v>
      </c>
      <c r="O39" s="278">
        <f t="shared" ca="1" si="2"/>
        <v>0</v>
      </c>
    </row>
    <row r="40" spans="2:15" s="275" customFormat="1" ht="15" customHeight="1">
      <c r="B40" s="281" t="s">
        <v>120</v>
      </c>
      <c r="C40" s="296">
        <f ca="1">C19+C15</f>
        <v>130080</v>
      </c>
      <c r="D40" s="296">
        <f t="shared" ref="D40:N40" ca="1" si="6">D19+D15</f>
        <v>0</v>
      </c>
      <c r="E40" s="296">
        <f t="shared" ca="1" si="6"/>
        <v>0</v>
      </c>
      <c r="F40" s="296">
        <f t="shared" ca="1" si="6"/>
        <v>0</v>
      </c>
      <c r="G40" s="296">
        <f t="shared" ca="1" si="6"/>
        <v>0</v>
      </c>
      <c r="H40" s="296">
        <f t="shared" ca="1" si="6"/>
        <v>32460</v>
      </c>
      <c r="I40" s="296">
        <f t="shared" ca="1" si="6"/>
        <v>79470</v>
      </c>
      <c r="J40" s="296">
        <f t="shared" ca="1" si="6"/>
        <v>41400</v>
      </c>
      <c r="K40" s="296">
        <f t="shared" ca="1" si="6"/>
        <v>0</v>
      </c>
      <c r="L40" s="296">
        <f t="shared" ca="1" si="6"/>
        <v>0</v>
      </c>
      <c r="M40" s="296">
        <f t="shared" ca="1" si="6"/>
        <v>0</v>
      </c>
      <c r="N40" s="296">
        <f t="shared" ca="1" si="6"/>
        <v>0</v>
      </c>
      <c r="O40" s="278">
        <f t="shared" ca="1" si="2"/>
        <v>283410</v>
      </c>
    </row>
    <row r="41" spans="2:15" s="275" customFormat="1" ht="15" customHeight="1">
      <c r="B41" s="279" t="s">
        <v>121</v>
      </c>
      <c r="C41" s="296">
        <f t="shared" ref="C41:I41" ca="1" si="7">C6+C12</f>
        <v>0</v>
      </c>
      <c r="D41" s="296">
        <f t="shared" ca="1" si="7"/>
        <v>0</v>
      </c>
      <c r="E41" s="296">
        <f t="shared" ca="1" si="7"/>
        <v>0</v>
      </c>
      <c r="F41" s="296">
        <f t="shared" ca="1" si="7"/>
        <v>0</v>
      </c>
      <c r="G41" s="296">
        <f t="shared" ca="1" si="7"/>
        <v>0</v>
      </c>
      <c r="H41" s="296">
        <f t="shared" ca="1" si="7"/>
        <v>0</v>
      </c>
      <c r="I41" s="296">
        <f t="shared" ca="1" si="7"/>
        <v>0</v>
      </c>
      <c r="J41" s="296">
        <v>0</v>
      </c>
      <c r="K41" s="296">
        <v>0</v>
      </c>
      <c r="L41" s="296">
        <v>0</v>
      </c>
      <c r="M41" s="296">
        <v>0</v>
      </c>
      <c r="N41" s="296">
        <v>0</v>
      </c>
      <c r="O41" s="278">
        <f t="shared" ca="1" si="2"/>
        <v>0</v>
      </c>
    </row>
    <row r="42" spans="2:15" s="275" customFormat="1" ht="15" customHeight="1">
      <c r="B42" s="279" t="s">
        <v>122</v>
      </c>
      <c r="C42" s="296">
        <v>0</v>
      </c>
      <c r="D42" s="296">
        <v>0</v>
      </c>
      <c r="E42" s="296">
        <v>0</v>
      </c>
      <c r="F42" s="296">
        <f ca="1">F7</f>
        <v>0</v>
      </c>
      <c r="G42" s="296">
        <v>0</v>
      </c>
      <c r="H42" s="296">
        <v>0</v>
      </c>
      <c r="I42" s="296">
        <v>0</v>
      </c>
      <c r="J42" s="296">
        <f ca="1">J6</f>
        <v>0</v>
      </c>
      <c r="K42" s="296">
        <f ca="1">K7</f>
        <v>0</v>
      </c>
      <c r="L42" s="296">
        <f ca="1">L6</f>
        <v>0</v>
      </c>
      <c r="M42" s="296">
        <f ca="1">M6</f>
        <v>0</v>
      </c>
      <c r="N42" s="296">
        <f ca="1">N6</f>
        <v>0</v>
      </c>
      <c r="O42" s="278">
        <f t="shared" ca="1" si="2"/>
        <v>0</v>
      </c>
    </row>
    <row r="43" spans="2:15" s="275" customFormat="1" ht="15" customHeight="1">
      <c r="B43" s="279" t="s">
        <v>123</v>
      </c>
      <c r="C43" s="296">
        <v>0</v>
      </c>
      <c r="D43" s="296">
        <v>0</v>
      </c>
      <c r="E43" s="296">
        <v>0</v>
      </c>
      <c r="F43" s="296">
        <v>0</v>
      </c>
      <c r="G43" s="296">
        <v>0</v>
      </c>
      <c r="H43" s="296">
        <v>0</v>
      </c>
      <c r="I43" s="296">
        <v>0</v>
      </c>
      <c r="J43" s="296">
        <f ca="1">J12</f>
        <v>0</v>
      </c>
      <c r="K43" s="296">
        <f ca="1">K12</f>
        <v>0</v>
      </c>
      <c r="L43" s="296">
        <f ca="1">L12</f>
        <v>0</v>
      </c>
      <c r="M43" s="296">
        <f ca="1">M12</f>
        <v>0</v>
      </c>
      <c r="N43" s="296">
        <f ca="1">N12</f>
        <v>0</v>
      </c>
      <c r="O43" s="278">
        <f t="shared" ca="1" si="2"/>
        <v>0</v>
      </c>
    </row>
    <row r="44" spans="2:15" s="275" customFormat="1" ht="15" customHeight="1">
      <c r="B44" s="275" t="s">
        <v>124</v>
      </c>
      <c r="C44" s="296">
        <v>0</v>
      </c>
      <c r="D44" s="296">
        <v>0</v>
      </c>
      <c r="E44" s="296">
        <v>0</v>
      </c>
      <c r="F44" s="296">
        <v>0</v>
      </c>
      <c r="G44" s="296">
        <v>0</v>
      </c>
      <c r="H44" s="296">
        <v>0</v>
      </c>
      <c r="I44" s="296">
        <v>0</v>
      </c>
      <c r="J44" s="296">
        <f ca="1">J20</f>
        <v>0</v>
      </c>
      <c r="K44" s="296">
        <f t="shared" ref="K44:N44" ca="1" si="8">K20</f>
        <v>0</v>
      </c>
      <c r="L44" s="296">
        <f t="shared" ca="1" si="8"/>
        <v>0</v>
      </c>
      <c r="M44" s="296">
        <f t="shared" ca="1" si="8"/>
        <v>0</v>
      </c>
      <c r="N44" s="296">
        <f t="shared" ca="1" si="8"/>
        <v>0</v>
      </c>
      <c r="O44" s="278">
        <f t="shared" ca="1" si="2"/>
        <v>0</v>
      </c>
    </row>
    <row r="45" spans="2:15" s="275" customFormat="1" ht="15" customHeight="1">
      <c r="B45" s="288" t="s">
        <v>125</v>
      </c>
      <c r="C45" s="296">
        <f ca="1">C30+C31</f>
        <v>0</v>
      </c>
      <c r="D45" s="296">
        <f t="shared" ref="D45:N45" ca="1" si="9">D30+D31</f>
        <v>0</v>
      </c>
      <c r="E45" s="296">
        <f t="shared" ca="1" si="9"/>
        <v>0</v>
      </c>
      <c r="F45" s="296">
        <f t="shared" ca="1" si="9"/>
        <v>0</v>
      </c>
      <c r="G45" s="296">
        <f t="shared" ca="1" si="9"/>
        <v>0</v>
      </c>
      <c r="H45" s="296">
        <f t="shared" ca="1" si="9"/>
        <v>0</v>
      </c>
      <c r="I45" s="296">
        <f t="shared" ca="1" si="9"/>
        <v>0</v>
      </c>
      <c r="J45" s="296">
        <f t="shared" ca="1" si="9"/>
        <v>0</v>
      </c>
      <c r="K45" s="296">
        <f t="shared" ca="1" si="9"/>
        <v>0</v>
      </c>
      <c r="L45" s="296">
        <f t="shared" ca="1" si="9"/>
        <v>0</v>
      </c>
      <c r="M45" s="296">
        <f t="shared" ca="1" si="9"/>
        <v>0</v>
      </c>
      <c r="N45" s="296">
        <f t="shared" ca="1" si="9"/>
        <v>0</v>
      </c>
      <c r="O45" s="278">
        <f t="shared" ca="1" si="2"/>
        <v>0</v>
      </c>
    </row>
    <row r="46" spans="2:15" s="275" customFormat="1" ht="15" customHeight="1">
      <c r="B46" s="286" t="s">
        <v>126</v>
      </c>
      <c r="C46" s="296">
        <f ca="1">C23</f>
        <v>0</v>
      </c>
      <c r="D46" s="296">
        <f t="shared" ref="D46:H46" ca="1" si="10">D23</f>
        <v>0</v>
      </c>
      <c r="E46" s="296">
        <f t="shared" ca="1" si="10"/>
        <v>0</v>
      </c>
      <c r="F46" s="296">
        <f ca="1">F24</f>
        <v>0</v>
      </c>
      <c r="G46" s="296">
        <f t="shared" ca="1" si="10"/>
        <v>0</v>
      </c>
      <c r="H46" s="296">
        <f t="shared" ca="1" si="10"/>
        <v>0</v>
      </c>
      <c r="I46" s="296">
        <f ca="1">I23+I24+I25+I26+I22</f>
        <v>0</v>
      </c>
      <c r="J46" s="296">
        <f ca="1">J23+J24+J25+J26</f>
        <v>0</v>
      </c>
      <c r="K46" s="296">
        <f t="shared" ref="K46:N46" ca="1" si="11">K23+K24+K25+K26</f>
        <v>0</v>
      </c>
      <c r="L46" s="296">
        <f t="shared" ca="1" si="11"/>
        <v>0</v>
      </c>
      <c r="M46" s="296">
        <f t="shared" ca="1" si="11"/>
        <v>0</v>
      </c>
      <c r="N46" s="296">
        <f t="shared" ca="1" si="11"/>
        <v>0</v>
      </c>
      <c r="O46" s="278">
        <f t="shared" ca="1" si="2"/>
        <v>0</v>
      </c>
    </row>
    <row r="47" spans="2:15" s="275" customFormat="1" ht="15" customHeight="1">
      <c r="B47" s="282" t="s">
        <v>127</v>
      </c>
      <c r="C47" s="296">
        <f ca="1">C16</f>
        <v>0</v>
      </c>
      <c r="D47" s="296">
        <f t="shared" ref="D47:H47" ca="1" si="12">D16</f>
        <v>0</v>
      </c>
      <c r="E47" s="296">
        <f t="shared" ca="1" si="12"/>
        <v>0</v>
      </c>
      <c r="F47" s="296">
        <f t="shared" ca="1" si="12"/>
        <v>0</v>
      </c>
      <c r="G47" s="296">
        <f t="shared" ca="1" si="12"/>
        <v>0</v>
      </c>
      <c r="H47" s="296">
        <f t="shared" ca="1" si="12"/>
        <v>0</v>
      </c>
      <c r="I47" s="296">
        <f ca="1">I16+I17</f>
        <v>0</v>
      </c>
      <c r="J47" s="296">
        <f t="shared" ref="J47:N47" ca="1" si="13">J16+J17</f>
        <v>0</v>
      </c>
      <c r="K47" s="296">
        <f t="shared" ca="1" si="13"/>
        <v>0</v>
      </c>
      <c r="L47" s="296">
        <f t="shared" ca="1" si="13"/>
        <v>0</v>
      </c>
      <c r="M47" s="296">
        <f t="shared" ca="1" si="13"/>
        <v>0</v>
      </c>
      <c r="N47" s="296">
        <f t="shared" ca="1" si="13"/>
        <v>0</v>
      </c>
      <c r="O47" s="278">
        <f t="shared" ca="1" si="2"/>
        <v>0</v>
      </c>
    </row>
    <row r="48" spans="2:15" s="275" customFormat="1" ht="15" customHeight="1">
      <c r="B48" s="276" t="s">
        <v>128</v>
      </c>
      <c r="C48" s="296">
        <f t="shared" ref="C48:K48" ca="1" si="14">C14</f>
        <v>0</v>
      </c>
      <c r="D48" s="296">
        <f t="shared" ca="1" si="14"/>
        <v>0</v>
      </c>
      <c r="E48" s="296">
        <f t="shared" ca="1" si="14"/>
        <v>0</v>
      </c>
      <c r="F48" s="296">
        <f t="shared" ca="1" si="14"/>
        <v>0</v>
      </c>
      <c r="G48" s="296">
        <f t="shared" ca="1" si="14"/>
        <v>0</v>
      </c>
      <c r="H48" s="296">
        <f t="shared" ca="1" si="14"/>
        <v>0</v>
      </c>
      <c r="I48" s="296">
        <f t="shared" ca="1" si="14"/>
        <v>0</v>
      </c>
      <c r="J48" s="296">
        <f t="shared" ca="1" si="14"/>
        <v>0</v>
      </c>
      <c r="K48" s="296">
        <f t="shared" ca="1" si="14"/>
        <v>0</v>
      </c>
      <c r="L48" s="296">
        <f ca="1">L14</f>
        <v>53670</v>
      </c>
      <c r="M48" s="296">
        <f t="shared" ref="M48:N48" ca="1" si="15">M14</f>
        <v>0</v>
      </c>
      <c r="N48" s="296">
        <f t="shared" ca="1" si="15"/>
        <v>0</v>
      </c>
      <c r="O48" s="278">
        <f t="shared" ca="1" si="2"/>
        <v>53670</v>
      </c>
    </row>
    <row r="49" spans="2:15" s="295" customFormat="1" ht="20.100000000000001" customHeight="1">
      <c r="B49" s="289" t="s">
        <v>43</v>
      </c>
      <c r="C49" s="290">
        <f t="shared" ref="C49:J49" ca="1" si="16">SUM(C36:C48)</f>
        <v>417870</v>
      </c>
      <c r="D49" s="290">
        <f t="shared" ca="1" si="16"/>
        <v>127800</v>
      </c>
      <c r="E49" s="290">
        <f t="shared" ca="1" si="16"/>
        <v>78060</v>
      </c>
      <c r="F49" s="290">
        <f ca="1">SUM(F36:F48)</f>
        <v>0</v>
      </c>
      <c r="G49" s="290">
        <f t="shared" ca="1" si="16"/>
        <v>0</v>
      </c>
      <c r="H49" s="290">
        <f t="shared" ca="1" si="16"/>
        <v>32460</v>
      </c>
      <c r="I49" s="290">
        <f t="shared" ca="1" si="16"/>
        <v>79470</v>
      </c>
      <c r="J49" s="290">
        <f t="shared" ca="1" si="16"/>
        <v>41400</v>
      </c>
      <c r="K49" s="290">
        <f ca="1">SUM(K36:K48)</f>
        <v>146730</v>
      </c>
      <c r="L49" s="290">
        <f ca="1">SUM(L36:L48)</f>
        <v>53670</v>
      </c>
      <c r="M49" s="290">
        <f ca="1">SUM(M36:M48)</f>
        <v>173490</v>
      </c>
      <c r="N49" s="290">
        <f ca="1">SUM(N36:N48)</f>
        <v>59970</v>
      </c>
      <c r="O49" s="290">
        <f ca="1">SUM(O36:O48)</f>
        <v>1210920</v>
      </c>
    </row>
  </sheetData>
  <mergeCells count="1">
    <mergeCell ref="C2:O2"/>
  </mergeCells>
  <phoneticPr fontId="0" type="noConversion"/>
  <pageMargins left="0.74803149606299213" right="0.74803149606299213" top="0.98425196850393704" bottom="0.98425196850393704" header="0" footer="0"/>
  <pageSetup paperSize="9" scale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3"/>
  <sheetViews>
    <sheetView showGridLines="0" topLeftCell="A21" zoomScaleNormal="100" zoomScaleSheetLayoutView="100" workbookViewId="0">
      <selection activeCell="C51" sqref="C51:D51"/>
    </sheetView>
  </sheetViews>
  <sheetFormatPr defaultColWidth="9.140625" defaultRowHeight="12.75"/>
  <cols>
    <col min="1" max="2" width="4.28515625" style="32" customWidth="1"/>
    <col min="3" max="10" width="12.42578125" style="32" customWidth="1"/>
    <col min="11" max="254" width="11.42578125" style="32" customWidth="1"/>
    <col min="255" max="16384" width="9.140625" style="32"/>
  </cols>
  <sheetData>
    <row r="1" spans="1:11">
      <c r="A1" s="30"/>
      <c r="B1" s="30"/>
      <c r="C1" s="31"/>
      <c r="D1" s="31"/>
      <c r="E1" s="31"/>
      <c r="F1" s="31"/>
      <c r="G1" s="31"/>
      <c r="H1" s="31"/>
      <c r="I1" s="31"/>
      <c r="J1" s="31"/>
      <c r="K1" s="30"/>
    </row>
    <row r="2" spans="1:11">
      <c r="A2" s="34"/>
      <c r="B2" s="34"/>
      <c r="C2" s="30"/>
      <c r="D2" s="30"/>
      <c r="E2" s="30"/>
      <c r="F2" s="30"/>
      <c r="G2" s="30"/>
      <c r="H2" s="30"/>
      <c r="I2" s="30"/>
      <c r="J2" s="30"/>
      <c r="K2" s="30"/>
    </row>
    <row r="3" spans="1:11">
      <c r="A3" s="34"/>
      <c r="B3" s="34"/>
      <c r="C3" s="30"/>
      <c r="D3" s="30"/>
      <c r="E3" s="33"/>
      <c r="F3" s="33"/>
      <c r="G3" s="33"/>
      <c r="H3" s="33"/>
      <c r="I3" s="33"/>
      <c r="J3" s="33"/>
      <c r="K3" s="30"/>
    </row>
    <row r="4" spans="1:11">
      <c r="A4" s="29"/>
      <c r="B4" s="29"/>
      <c r="C4" s="30"/>
      <c r="D4" s="30"/>
      <c r="E4" s="33"/>
      <c r="F4" s="33"/>
      <c r="G4" s="33"/>
      <c r="H4" s="33"/>
      <c r="I4" s="33"/>
      <c r="J4" s="33"/>
      <c r="K4" s="30"/>
    </row>
    <row r="5" spans="1:11">
      <c r="A5" s="34"/>
      <c r="B5" s="34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29"/>
      <c r="B6" s="29"/>
      <c r="C6" s="30"/>
      <c r="D6" s="30"/>
      <c r="E6" s="30"/>
      <c r="F6" s="30"/>
      <c r="G6" s="30"/>
      <c r="H6" s="30"/>
      <c r="I6" s="30"/>
      <c r="J6" s="30"/>
      <c r="K6" s="30"/>
    </row>
    <row r="7" spans="1:11" ht="15.75">
      <c r="A7" s="29"/>
      <c r="B7" s="29"/>
      <c r="C7" s="30"/>
      <c r="D7" s="30"/>
      <c r="E7" s="302" t="s">
        <v>2</v>
      </c>
      <c r="F7" s="302"/>
      <c r="G7" s="302"/>
      <c r="H7" s="302"/>
      <c r="I7" s="39" t="s">
        <v>3</v>
      </c>
      <c r="J7" s="40">
        <f>CARÁT!$F$16</f>
        <v>2024</v>
      </c>
      <c r="K7" s="30"/>
    </row>
    <row r="8" spans="1:11">
      <c r="A8" s="29"/>
      <c r="B8" s="29"/>
      <c r="C8" s="30"/>
      <c r="D8" s="30"/>
      <c r="E8" s="30"/>
      <c r="F8" s="30"/>
      <c r="G8" s="30"/>
      <c r="H8" s="30"/>
      <c r="I8" s="30"/>
      <c r="J8" s="30"/>
      <c r="K8" s="30"/>
    </row>
    <row r="9" spans="1:11">
      <c r="A9" s="36"/>
      <c r="B9" s="36"/>
      <c r="C9" s="37"/>
      <c r="D9" s="37"/>
      <c r="E9" s="36"/>
      <c r="F9" s="37"/>
      <c r="G9" s="37"/>
      <c r="H9" s="37"/>
      <c r="I9" s="36"/>
      <c r="J9" s="36"/>
      <c r="K9" s="30"/>
    </row>
    <row r="10" spans="1:11" s="44" customFormat="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43"/>
    </row>
    <row r="11" spans="1:11" s="44" customFormat="1">
      <c r="A11" s="41"/>
      <c r="B11" s="45">
        <v>4</v>
      </c>
      <c r="C11" s="46">
        <v>45299</v>
      </c>
      <c r="D11" s="362" t="s">
        <v>9</v>
      </c>
      <c r="E11" s="362"/>
      <c r="F11" s="305">
        <v>64590</v>
      </c>
      <c r="G11" s="305"/>
      <c r="H11" s="47" t="s">
        <v>10</v>
      </c>
      <c r="I11" s="47"/>
      <c r="J11" s="47"/>
      <c r="K11" s="43"/>
    </row>
    <row r="12" spans="1:11" s="44" customFormat="1">
      <c r="A12" s="41"/>
      <c r="B12" s="45">
        <v>5</v>
      </c>
      <c r="C12" s="46">
        <v>45299</v>
      </c>
      <c r="D12" s="363" t="s">
        <v>11</v>
      </c>
      <c r="E12" s="363"/>
      <c r="F12" s="305">
        <v>62760</v>
      </c>
      <c r="G12" s="305"/>
      <c r="H12" s="47" t="s">
        <v>10</v>
      </c>
      <c r="I12" s="47"/>
      <c r="J12" s="47"/>
      <c r="K12" s="43"/>
    </row>
    <row r="13" spans="1:11" s="44" customFormat="1">
      <c r="A13" s="41"/>
      <c r="B13" s="45">
        <v>7</v>
      </c>
      <c r="C13" s="46">
        <v>45302</v>
      </c>
      <c r="D13" s="363" t="s">
        <v>12</v>
      </c>
      <c r="E13" s="363"/>
      <c r="F13" s="305">
        <v>61680</v>
      </c>
      <c r="G13" s="305"/>
      <c r="H13" s="47" t="s">
        <v>10</v>
      </c>
      <c r="I13" s="47"/>
      <c r="J13" s="47"/>
      <c r="K13" s="43"/>
    </row>
    <row r="14" spans="1:11" s="44" customFormat="1">
      <c r="A14" s="41"/>
      <c r="B14" s="45">
        <v>8</v>
      </c>
      <c r="C14" s="46">
        <v>45310</v>
      </c>
      <c r="D14" s="321" t="s">
        <v>12</v>
      </c>
      <c r="E14" s="321"/>
      <c r="F14" s="305">
        <v>29160</v>
      </c>
      <c r="G14" s="305"/>
      <c r="H14" s="47" t="s">
        <v>10</v>
      </c>
      <c r="I14" s="47"/>
      <c r="J14" s="47"/>
      <c r="K14" s="43"/>
    </row>
    <row r="15" spans="1:11" s="44" customFormat="1">
      <c r="A15" s="41"/>
      <c r="B15" s="45">
        <v>9</v>
      </c>
      <c r="C15" s="46">
        <v>45307</v>
      </c>
      <c r="D15" s="363" t="s">
        <v>11</v>
      </c>
      <c r="E15" s="363"/>
      <c r="F15" s="305">
        <v>61890</v>
      </c>
      <c r="G15" s="305"/>
      <c r="H15" s="47" t="s">
        <v>10</v>
      </c>
      <c r="I15" s="47"/>
      <c r="J15" s="47"/>
      <c r="K15" s="43"/>
    </row>
    <row r="16" spans="1:11" s="44" customFormat="1">
      <c r="A16" s="41"/>
      <c r="B16" s="45">
        <v>10</v>
      </c>
      <c r="C16" s="46">
        <v>45313</v>
      </c>
      <c r="D16" s="363" t="s">
        <v>13</v>
      </c>
      <c r="E16" s="363"/>
      <c r="F16" s="305">
        <v>30450</v>
      </c>
      <c r="G16" s="305"/>
      <c r="H16" s="47" t="s">
        <v>10</v>
      </c>
      <c r="I16" s="47"/>
      <c r="J16" s="47"/>
      <c r="K16" s="43"/>
    </row>
    <row r="17" spans="1:11" s="44" customFormat="1">
      <c r="A17" s="41"/>
      <c r="B17" s="48">
        <v>11</v>
      </c>
      <c r="C17" s="46">
        <v>45304</v>
      </c>
      <c r="D17" s="363" t="s">
        <v>9</v>
      </c>
      <c r="E17" s="363"/>
      <c r="F17" s="305">
        <v>65490</v>
      </c>
      <c r="G17" s="305"/>
      <c r="H17" s="47" t="s">
        <v>10</v>
      </c>
      <c r="I17" s="47"/>
      <c r="J17" s="47"/>
      <c r="K17" s="43"/>
    </row>
    <row r="18" spans="1:11" s="44" customFormat="1">
      <c r="A18" s="41"/>
      <c r="B18" s="48">
        <v>12</v>
      </c>
      <c r="C18" s="46">
        <v>45317</v>
      </c>
      <c r="D18" s="363" t="s">
        <v>11</v>
      </c>
      <c r="E18" s="363"/>
      <c r="F18" s="305">
        <v>41850</v>
      </c>
      <c r="G18" s="305"/>
      <c r="H18" s="47" t="s">
        <v>10</v>
      </c>
      <c r="I18" s="47"/>
      <c r="J18" s="47"/>
      <c r="K18" s="43"/>
    </row>
    <row r="19" spans="1:11" s="44" customFormat="1">
      <c r="A19" s="41"/>
      <c r="B19" s="48"/>
      <c r="C19" s="46"/>
      <c r="D19" s="363"/>
      <c r="E19" s="363"/>
      <c r="F19" s="305"/>
      <c r="G19" s="305"/>
      <c r="H19" s="47"/>
      <c r="I19" s="47"/>
      <c r="J19" s="47"/>
      <c r="K19" s="43"/>
    </row>
    <row r="20" spans="1:11" s="44" customFormat="1">
      <c r="A20" s="41"/>
      <c r="B20" s="48"/>
      <c r="C20" s="46"/>
      <c r="D20" s="363"/>
      <c r="E20" s="363"/>
      <c r="F20" s="305"/>
      <c r="G20" s="305"/>
      <c r="H20" s="47"/>
      <c r="I20" s="47"/>
      <c r="J20" s="47"/>
      <c r="K20" s="43"/>
    </row>
    <row r="21" spans="1:11" s="44" customFormat="1">
      <c r="A21" s="41"/>
      <c r="B21" s="48"/>
      <c r="C21" s="46"/>
      <c r="D21" s="363"/>
      <c r="E21" s="363"/>
      <c r="F21" s="305"/>
      <c r="G21" s="305"/>
      <c r="H21" s="47"/>
      <c r="I21" s="47"/>
      <c r="J21" s="47"/>
      <c r="K21" s="43"/>
    </row>
    <row r="22" spans="1:11" s="44" customFormat="1">
      <c r="A22" s="41"/>
      <c r="B22" s="48"/>
      <c r="C22" s="46"/>
      <c r="D22" s="363"/>
      <c r="E22" s="363"/>
      <c r="F22" s="305"/>
      <c r="G22" s="305"/>
      <c r="H22" s="303"/>
      <c r="I22" s="303"/>
      <c r="J22" s="303"/>
      <c r="K22" s="43"/>
    </row>
    <row r="23" spans="1:11" s="44" customFormat="1">
      <c r="A23" s="41"/>
      <c r="B23" s="48"/>
      <c r="C23" s="46"/>
      <c r="D23" s="363"/>
      <c r="E23" s="363"/>
      <c r="F23" s="305"/>
      <c r="G23" s="305"/>
      <c r="H23" s="303"/>
      <c r="I23" s="303"/>
      <c r="J23" s="303"/>
      <c r="K23" s="43"/>
    </row>
    <row r="24" spans="1:11" s="44" customFormat="1">
      <c r="A24" s="41"/>
      <c r="B24" s="48"/>
      <c r="C24" s="46"/>
      <c r="D24" s="363"/>
      <c r="E24" s="363"/>
      <c r="F24" s="305"/>
      <c r="G24" s="305"/>
      <c r="H24" s="303"/>
      <c r="I24" s="303"/>
      <c r="J24" s="303"/>
      <c r="K24" s="43"/>
    </row>
    <row r="25" spans="1:11" s="44" customFormat="1">
      <c r="A25" s="41"/>
      <c r="B25" s="48"/>
      <c r="C25" s="46"/>
      <c r="D25" s="363"/>
      <c r="E25" s="363"/>
      <c r="F25" s="305"/>
      <c r="G25" s="305"/>
      <c r="H25" s="303"/>
      <c r="I25" s="303"/>
      <c r="J25" s="303"/>
      <c r="K25" s="43"/>
    </row>
    <row r="26" spans="1:11" s="44" customFormat="1">
      <c r="A26" s="41"/>
      <c r="B26" s="48"/>
      <c r="C26" s="46"/>
      <c r="D26" s="363"/>
      <c r="E26" s="363"/>
      <c r="F26" s="304"/>
      <c r="G26" s="304"/>
      <c r="H26" s="303"/>
      <c r="I26" s="303"/>
      <c r="J26" s="303"/>
      <c r="K26" s="43"/>
    </row>
    <row r="27" spans="1:11" s="44" customFormat="1">
      <c r="A27" s="41"/>
      <c r="B27" s="48"/>
      <c r="C27" s="46"/>
      <c r="D27" s="363"/>
      <c r="E27" s="363"/>
      <c r="F27" s="304"/>
      <c r="G27" s="304"/>
      <c r="H27" s="303"/>
      <c r="I27" s="303"/>
      <c r="J27" s="303"/>
      <c r="K27" s="43"/>
    </row>
    <row r="28" spans="1:11" s="44" customFormat="1">
      <c r="A28" s="41"/>
      <c r="B28" s="48"/>
      <c r="C28" s="46"/>
      <c r="D28" s="363"/>
      <c r="E28" s="363"/>
      <c r="F28" s="304"/>
      <c r="G28" s="304"/>
      <c r="H28" s="303"/>
      <c r="I28" s="303"/>
      <c r="J28" s="303"/>
      <c r="K28" s="43"/>
    </row>
    <row r="29" spans="1:11" s="44" customFormat="1">
      <c r="A29" s="41"/>
      <c r="B29" s="48"/>
      <c r="C29" s="46"/>
      <c r="D29" s="363"/>
      <c r="E29" s="363"/>
      <c r="F29" s="304"/>
      <c r="G29" s="304"/>
      <c r="H29" s="303"/>
      <c r="I29" s="303"/>
      <c r="J29" s="303"/>
      <c r="K29" s="43"/>
    </row>
    <row r="30" spans="1:11" s="44" customFormat="1">
      <c r="A30" s="41"/>
      <c r="B30" s="48"/>
      <c r="C30" s="46"/>
      <c r="D30" s="363"/>
      <c r="E30" s="363"/>
      <c r="F30" s="304"/>
      <c r="G30" s="304"/>
      <c r="H30" s="303"/>
      <c r="I30" s="303"/>
      <c r="J30" s="303"/>
      <c r="K30" s="43"/>
    </row>
    <row r="31" spans="1:11" s="44" customFormat="1">
      <c r="A31" s="41"/>
      <c r="B31" s="48"/>
      <c r="C31" s="46"/>
      <c r="D31" s="363"/>
      <c r="E31" s="363"/>
      <c r="F31" s="304"/>
      <c r="G31" s="304"/>
      <c r="H31" s="303"/>
      <c r="I31" s="303"/>
      <c r="J31" s="303"/>
      <c r="K31" s="43"/>
    </row>
    <row r="32" spans="1:11" s="44" customFormat="1">
      <c r="A32" s="41"/>
      <c r="B32" s="48"/>
      <c r="C32" s="46"/>
      <c r="D32" s="303"/>
      <c r="E32" s="303"/>
      <c r="F32" s="304"/>
      <c r="G32" s="304"/>
      <c r="H32" s="303"/>
      <c r="I32" s="303"/>
      <c r="J32" s="303"/>
      <c r="K32" s="43"/>
    </row>
    <row r="33" spans="1:11" s="44" customFormat="1">
      <c r="A33" s="41"/>
      <c r="B33" s="48"/>
      <c r="C33" s="46"/>
      <c r="D33" s="303"/>
      <c r="E33" s="303"/>
      <c r="F33" s="304"/>
      <c r="G33" s="304"/>
      <c r="H33" s="303"/>
      <c r="I33" s="303"/>
      <c r="J33" s="303"/>
      <c r="K33" s="43"/>
    </row>
    <row r="34" spans="1:11" s="44" customFormat="1">
      <c r="A34" s="41"/>
      <c r="B34" s="48"/>
      <c r="C34" s="46"/>
      <c r="D34" s="303"/>
      <c r="E34" s="303"/>
      <c r="F34" s="304"/>
      <c r="G34" s="304"/>
      <c r="H34" s="303"/>
      <c r="I34" s="303"/>
      <c r="J34" s="303"/>
      <c r="K34" s="43"/>
    </row>
    <row r="35" spans="1:11" s="44" customFormat="1">
      <c r="A35" s="41"/>
      <c r="B35" s="48"/>
      <c r="C35" s="46"/>
      <c r="D35" s="303"/>
      <c r="E35" s="303"/>
      <c r="F35" s="304"/>
      <c r="G35" s="304"/>
      <c r="H35" s="303"/>
      <c r="I35" s="303"/>
      <c r="J35" s="303"/>
      <c r="K35" s="43"/>
    </row>
    <row r="36" spans="1:11" s="44" customFormat="1">
      <c r="A36" s="41"/>
      <c r="B36" s="48"/>
      <c r="C36" s="46"/>
      <c r="D36" s="303"/>
      <c r="E36" s="303"/>
      <c r="F36" s="304"/>
      <c r="G36" s="304"/>
      <c r="H36" s="303"/>
      <c r="I36" s="303"/>
      <c r="J36" s="303"/>
      <c r="K36" s="43"/>
    </row>
    <row r="37" spans="1:11" s="44" customFormat="1">
      <c r="A37" s="41"/>
      <c r="B37" s="48"/>
      <c r="C37" s="46"/>
      <c r="D37" s="303"/>
      <c r="E37" s="303"/>
      <c r="F37" s="304"/>
      <c r="G37" s="304"/>
      <c r="H37" s="303"/>
      <c r="I37" s="303"/>
      <c r="J37" s="303"/>
      <c r="K37" s="43"/>
    </row>
    <row r="38" spans="1:11" s="44" customFormat="1">
      <c r="A38" s="41"/>
      <c r="B38" s="48"/>
      <c r="C38" s="46"/>
      <c r="D38" s="303"/>
      <c r="E38" s="303"/>
      <c r="F38" s="304"/>
      <c r="G38" s="304"/>
      <c r="H38" s="303"/>
      <c r="I38" s="303"/>
      <c r="J38" s="303"/>
      <c r="K38" s="43"/>
    </row>
    <row r="39" spans="1:11" s="44" customFormat="1">
      <c r="A39" s="41"/>
      <c r="B39" s="48"/>
      <c r="C39" s="46"/>
      <c r="D39" s="303"/>
      <c r="E39" s="303"/>
      <c r="F39" s="304"/>
      <c r="G39" s="304"/>
      <c r="H39" s="303"/>
      <c r="I39" s="303"/>
      <c r="J39" s="303"/>
      <c r="K39" s="43"/>
    </row>
    <row r="40" spans="1:11" s="44" customFormat="1">
      <c r="A40" s="41"/>
      <c r="B40" s="48"/>
      <c r="C40" s="46"/>
      <c r="D40" s="303"/>
      <c r="E40" s="303"/>
      <c r="F40" s="304"/>
      <c r="G40" s="304"/>
      <c r="H40" s="303"/>
      <c r="I40" s="303"/>
      <c r="J40" s="303"/>
      <c r="K40" s="43"/>
    </row>
    <row r="41" spans="1:11" s="44" customFormat="1">
      <c r="A41" s="41"/>
      <c r="B41" s="48"/>
      <c r="C41" s="46"/>
      <c r="D41" s="41"/>
      <c r="E41" s="41"/>
      <c r="F41" s="49"/>
      <c r="G41" s="49"/>
      <c r="H41" s="41"/>
      <c r="I41" s="41"/>
      <c r="J41" s="41"/>
      <c r="K41" s="43"/>
    </row>
    <row r="42" spans="1:11" s="44" customFormat="1">
      <c r="A42" s="41"/>
      <c r="B42" s="48"/>
      <c r="C42" s="46"/>
      <c r="D42" s="363"/>
      <c r="E42" s="363"/>
      <c r="F42" s="304"/>
      <c r="G42" s="304"/>
      <c r="H42" s="303"/>
      <c r="I42" s="303"/>
      <c r="J42" s="303"/>
      <c r="K42" s="43"/>
    </row>
    <row r="43" spans="1:11" s="44" customFormat="1">
      <c r="A43" s="41"/>
      <c r="B43" s="48"/>
      <c r="C43" s="46"/>
      <c r="D43" s="363"/>
      <c r="E43" s="363"/>
      <c r="F43" s="304"/>
      <c r="G43" s="304"/>
      <c r="H43" s="303"/>
      <c r="I43" s="303"/>
      <c r="J43" s="303"/>
      <c r="K43" s="43"/>
    </row>
    <row r="44" spans="1:11" s="44" customFormat="1">
      <c r="A44" s="41"/>
      <c r="B44" s="50"/>
      <c r="C44" s="51"/>
      <c r="D44" s="52"/>
      <c r="E44" s="52"/>
      <c r="F44" s="310">
        <f>SUM(F11:G43)</f>
        <v>417870</v>
      </c>
      <c r="G44" s="311"/>
      <c r="H44" s="53"/>
      <c r="I44" s="53"/>
      <c r="J44" s="53"/>
      <c r="K44" s="43"/>
    </row>
    <row r="45" spans="1:11" s="44" customFormat="1">
      <c r="A45" s="41"/>
      <c r="B45" s="41"/>
      <c r="C45" s="54"/>
      <c r="D45" s="55"/>
      <c r="E45" s="56"/>
      <c r="F45" s="55"/>
      <c r="G45" s="55"/>
      <c r="H45" s="55"/>
      <c r="I45" s="54"/>
      <c r="J45" s="55"/>
      <c r="K45" s="43"/>
    </row>
    <row r="46" spans="1:11" s="44" customFormat="1">
      <c r="A46" s="41"/>
      <c r="B46" s="41"/>
      <c r="C46" s="55"/>
      <c r="D46" s="319" t="s">
        <v>14</v>
      </c>
      <c r="E46" s="319"/>
      <c r="F46" s="55"/>
      <c r="G46" s="58">
        <f>F44/1000</f>
        <v>417.87</v>
      </c>
      <c r="H46" s="55"/>
      <c r="I46" s="54"/>
      <c r="J46" s="55"/>
      <c r="K46" s="43"/>
    </row>
    <row r="47" spans="1:11" s="44" customFormat="1">
      <c r="A47" s="41"/>
      <c r="B47" s="41"/>
      <c r="C47" s="55"/>
      <c r="D47" s="55"/>
      <c r="E47" s="56"/>
      <c r="F47" s="55"/>
      <c r="G47" s="55"/>
      <c r="H47" s="55"/>
      <c r="I47" s="55"/>
      <c r="J47" s="55"/>
      <c r="K47" s="43"/>
    </row>
    <row r="48" spans="1:11" s="44" customFormat="1">
      <c r="A48" s="41"/>
      <c r="B48" s="41"/>
      <c r="C48" s="55"/>
      <c r="D48" s="55"/>
      <c r="E48" s="55"/>
      <c r="F48" s="55"/>
      <c r="G48" s="55"/>
      <c r="H48" s="55"/>
      <c r="I48" s="55"/>
      <c r="J48" s="55"/>
      <c r="K48" s="43"/>
    </row>
    <row r="49" spans="1:11" s="44" customFormat="1">
      <c r="A49" s="41"/>
      <c r="B49" s="41"/>
      <c r="C49" s="317" t="s">
        <v>15</v>
      </c>
      <c r="D49" s="317"/>
      <c r="E49" s="317" t="s">
        <v>16</v>
      </c>
      <c r="F49" s="317"/>
      <c r="G49" s="59" t="s">
        <v>17</v>
      </c>
      <c r="H49" s="59" t="s">
        <v>18</v>
      </c>
      <c r="I49" s="55"/>
      <c r="J49" s="55"/>
      <c r="K49" s="43"/>
    </row>
    <row r="50" spans="1:11" s="44" customFormat="1">
      <c r="A50" s="41"/>
      <c r="B50" s="41"/>
      <c r="C50" s="303" t="s">
        <v>19</v>
      </c>
      <c r="D50" s="303"/>
      <c r="E50" s="364">
        <f>F12+F13+F14+F15+F16+F18</f>
        <v>287790</v>
      </c>
      <c r="F50" s="364"/>
      <c r="G50" s="61">
        <f>E50/F44</f>
        <v>0.68870701414315461</v>
      </c>
      <c r="H50" s="48">
        <v>6</v>
      </c>
      <c r="I50" s="53"/>
      <c r="J50" s="55"/>
      <c r="K50" s="43"/>
    </row>
    <row r="51" spans="1:11" s="44" customFormat="1">
      <c r="A51" s="41"/>
      <c r="B51" s="41"/>
      <c r="C51" s="303" t="s">
        <v>20</v>
      </c>
      <c r="D51" s="303"/>
      <c r="E51" s="364">
        <f>F11+F17</f>
        <v>130080</v>
      </c>
      <c r="F51" s="364"/>
      <c r="G51" s="61">
        <f>E51/F44</f>
        <v>0.31129298585684545</v>
      </c>
      <c r="H51" s="299">
        <v>2</v>
      </c>
      <c r="I51" s="299"/>
      <c r="J51" s="55"/>
      <c r="K51" s="43"/>
    </row>
    <row r="52" spans="1:11" s="44" customFormat="1">
      <c r="A52" s="41"/>
      <c r="B52" s="41"/>
      <c r="C52" s="303"/>
      <c r="D52" s="303"/>
      <c r="E52" s="364"/>
      <c r="F52" s="364"/>
      <c r="G52" s="61">
        <f>E52/F44</f>
        <v>0</v>
      </c>
      <c r="H52" s="48"/>
      <c r="I52" s="53"/>
      <c r="J52" s="55"/>
      <c r="K52" s="43"/>
    </row>
    <row r="53" spans="1:11" s="44" customFormat="1">
      <c r="A53" s="41"/>
      <c r="B53" s="41"/>
      <c r="C53" s="303"/>
      <c r="D53" s="303"/>
      <c r="E53" s="304"/>
      <c r="F53" s="304"/>
      <c r="G53" s="61">
        <f>E53/F44</f>
        <v>0</v>
      </c>
      <c r="H53" s="48"/>
      <c r="I53" s="53"/>
      <c r="J53" s="55"/>
      <c r="K53" s="43"/>
    </row>
    <row r="54" spans="1:11" s="44" customFormat="1">
      <c r="A54" s="41"/>
      <c r="B54" s="41"/>
      <c r="C54" s="303"/>
      <c r="D54" s="303"/>
      <c r="E54" s="318"/>
      <c r="F54" s="318"/>
      <c r="G54" s="61">
        <f>E54/F44</f>
        <v>0</v>
      </c>
      <c r="H54" s="48"/>
      <c r="I54" s="53"/>
      <c r="J54" s="55"/>
      <c r="K54" s="43"/>
    </row>
    <row r="55" spans="1:11" s="44" customFormat="1">
      <c r="A55" s="41"/>
      <c r="B55" s="41"/>
      <c r="C55" s="64"/>
      <c r="D55" s="57" t="s">
        <v>21</v>
      </c>
      <c r="E55" s="365">
        <f>SUM(E50:F54)</f>
        <v>417870</v>
      </c>
      <c r="F55" s="365"/>
      <c r="G55" s="65">
        <f>SUM(G50:G54)</f>
        <v>1</v>
      </c>
      <c r="H55" s="300">
        <f>SUM(H50:H54)</f>
        <v>8</v>
      </c>
      <c r="I55" s="55"/>
      <c r="J55" s="55"/>
      <c r="K55" s="43"/>
    </row>
    <row r="56" spans="1:11" s="44" customFormat="1">
      <c r="A56" s="41"/>
      <c r="B56" s="41"/>
      <c r="C56" s="67"/>
      <c r="D56" s="67"/>
      <c r="E56" s="52"/>
      <c r="F56" s="52"/>
      <c r="G56" s="52"/>
      <c r="H56" s="55"/>
      <c r="I56" s="55"/>
      <c r="J56" s="55"/>
      <c r="K56" s="43"/>
    </row>
    <row r="57" spans="1:11" s="44" customFormat="1">
      <c r="A57" s="41"/>
      <c r="B57" s="41"/>
      <c r="C57" s="68"/>
      <c r="D57" s="55"/>
      <c r="E57" s="54"/>
      <c r="F57" s="69"/>
      <c r="G57" s="70"/>
      <c r="H57" s="55"/>
      <c r="I57" s="55"/>
      <c r="J57" s="55"/>
      <c r="K57" s="43"/>
    </row>
    <row r="58" spans="1:11" s="44" customFormat="1">
      <c r="A58" s="41"/>
      <c r="B58" s="41"/>
      <c r="C58" s="313" t="s">
        <v>8</v>
      </c>
      <c r="D58" s="314"/>
      <c r="E58" s="315"/>
      <c r="F58" s="316" t="s">
        <v>7</v>
      </c>
      <c r="G58" s="317"/>
      <c r="H58" s="59" t="s">
        <v>17</v>
      </c>
      <c r="I58" s="55"/>
      <c r="J58" s="55"/>
      <c r="K58" s="43"/>
    </row>
    <row r="59" spans="1:11" s="44" customFormat="1">
      <c r="A59" s="41"/>
      <c r="B59" s="41"/>
      <c r="C59" s="303" t="s">
        <v>22</v>
      </c>
      <c r="D59" s="303"/>
      <c r="E59" s="303"/>
      <c r="F59" s="312">
        <v>0</v>
      </c>
      <c r="G59" s="312"/>
      <c r="H59" s="61">
        <f>F59/F61</f>
        <v>0</v>
      </c>
      <c r="I59" s="55"/>
      <c r="J59" s="55"/>
      <c r="K59" s="43"/>
    </row>
    <row r="60" spans="1:11" s="44" customFormat="1">
      <c r="A60" s="41"/>
      <c r="B60" s="41"/>
      <c r="C60" s="303" t="s">
        <v>23</v>
      </c>
      <c r="D60" s="303"/>
      <c r="E60" s="303"/>
      <c r="F60" s="304">
        <f>F44</f>
        <v>417870</v>
      </c>
      <c r="G60" s="304"/>
      <c r="H60" s="61">
        <f>F60/F61</f>
        <v>1</v>
      </c>
      <c r="I60" s="55"/>
      <c r="J60" s="55"/>
      <c r="K60" s="43"/>
    </row>
    <row r="61" spans="1:11" s="44" customFormat="1">
      <c r="A61" s="41"/>
      <c r="B61" s="41"/>
      <c r="C61" s="55"/>
      <c r="D61" s="55" t="s">
        <v>21</v>
      </c>
      <c r="E61" s="55"/>
      <c r="F61" s="308">
        <f>SUM(F59:G60)</f>
        <v>417870</v>
      </c>
      <c r="G61" s="308"/>
      <c r="H61" s="65">
        <f>SUM(H59:H60)</f>
        <v>1</v>
      </c>
      <c r="I61" s="55"/>
      <c r="J61" s="55"/>
      <c r="K61" s="43"/>
    </row>
    <row r="62" spans="1:11" s="44" customFormat="1">
      <c r="A62" s="41"/>
      <c r="B62" s="41"/>
      <c r="C62" s="55"/>
      <c r="D62" s="43"/>
      <c r="E62" s="43"/>
      <c r="F62" s="43"/>
      <c r="G62" s="43"/>
      <c r="H62" s="71"/>
      <c r="I62" s="55"/>
      <c r="J62" s="55"/>
      <c r="K62" s="43"/>
    </row>
    <row r="63" spans="1:11" s="44" customFormat="1">
      <c r="A63" s="41"/>
      <c r="B63" s="41"/>
      <c r="C63" s="55"/>
      <c r="D63" s="43"/>
      <c r="E63" s="309" t="s">
        <v>24</v>
      </c>
      <c r="F63" s="309"/>
      <c r="G63" s="309"/>
      <c r="H63" s="309"/>
      <c r="I63" s="55"/>
      <c r="J63" s="55"/>
      <c r="K63" s="43"/>
    </row>
    <row r="64" spans="1:11" s="44" customFormat="1">
      <c r="A64" s="41"/>
      <c r="B64" s="41"/>
      <c r="C64" s="55"/>
      <c r="D64" s="72"/>
      <c r="E64" s="55"/>
      <c r="F64" s="55"/>
      <c r="G64" s="55"/>
      <c r="H64" s="55"/>
      <c r="I64" s="55"/>
      <c r="J64" s="55"/>
      <c r="K64" s="43"/>
    </row>
    <row r="65" spans="1:11" s="44" customFormat="1">
      <c r="A65" s="55"/>
      <c r="B65" s="55"/>
      <c r="C65" s="55"/>
      <c r="D65" s="73" t="s">
        <v>25</v>
      </c>
      <c r="E65" s="306" t="s">
        <v>26</v>
      </c>
      <c r="F65" s="307"/>
      <c r="G65" s="306" t="s">
        <v>27</v>
      </c>
      <c r="H65" s="307"/>
      <c r="I65" s="55"/>
      <c r="J65" s="55"/>
      <c r="K65" s="43"/>
    </row>
    <row r="66" spans="1:11" s="44" customFormat="1">
      <c r="A66" s="55"/>
      <c r="B66" s="55"/>
      <c r="C66" s="55"/>
      <c r="D66" s="74" t="s">
        <v>28</v>
      </c>
      <c r="E66" s="78" t="s">
        <v>29</v>
      </c>
      <c r="F66" s="78" t="s">
        <v>30</v>
      </c>
      <c r="G66" s="78" t="s">
        <v>29</v>
      </c>
      <c r="H66" s="78" t="s">
        <v>30</v>
      </c>
      <c r="I66" s="55"/>
      <c r="J66" s="55"/>
      <c r="K66" s="43"/>
    </row>
    <row r="67" spans="1:11" s="44" customFormat="1">
      <c r="A67" s="55"/>
      <c r="B67" s="55"/>
      <c r="C67" s="55"/>
      <c r="D67" s="75" t="s">
        <v>31</v>
      </c>
      <c r="E67" s="76">
        <f>Comparativos!$BA$13</f>
        <v>123.39</v>
      </c>
      <c r="F67" s="77">
        <f>Comparativos!$BB$13</f>
        <v>4</v>
      </c>
      <c r="G67" s="76">
        <f>$G$46</f>
        <v>417.87</v>
      </c>
      <c r="H67" s="77">
        <f>$H$55</f>
        <v>8</v>
      </c>
      <c r="I67" s="55"/>
      <c r="J67" s="55"/>
      <c r="K67" s="43"/>
    </row>
    <row r="68" spans="1:11" s="44" customForma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43"/>
    </row>
    <row r="69" spans="1:11" s="44" customFormat="1">
      <c r="A69" s="55"/>
      <c r="B69" s="55"/>
      <c r="C69" s="55"/>
      <c r="D69" s="55"/>
      <c r="E69" s="79">
        <f>SUM(E67:E68)</f>
        <v>123.39</v>
      </c>
      <c r="F69" s="80">
        <f>SUM(F67:F68)</f>
        <v>4</v>
      </c>
      <c r="G69" s="79">
        <f>SUM(G67:G68)</f>
        <v>417.87</v>
      </c>
      <c r="H69" s="80">
        <f>SUM(H67:H68)</f>
        <v>8</v>
      </c>
      <c r="I69" s="55"/>
      <c r="J69" s="55"/>
      <c r="K69" s="43"/>
    </row>
    <row r="70" spans="1:11">
      <c r="A70" s="36"/>
      <c r="B70" s="36"/>
      <c r="C70" s="36"/>
      <c r="D70" s="36"/>
      <c r="E70" s="36"/>
      <c r="F70" s="36"/>
      <c r="G70" s="36"/>
      <c r="H70" s="36"/>
      <c r="I70" s="36"/>
      <c r="J70" s="36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6"/>
    </row>
    <row r="72" spans="1:11">
      <c r="A72" s="30"/>
      <c r="B72" s="30"/>
      <c r="C72" s="30"/>
      <c r="D72" s="30"/>
      <c r="E72" s="30"/>
      <c r="F72" s="30"/>
      <c r="G72" s="30"/>
      <c r="H72" s="30"/>
      <c r="I72" s="30"/>
      <c r="J72" s="30"/>
    </row>
    <row r="73" spans="1:11">
      <c r="A73" s="30"/>
      <c r="B73" s="30"/>
      <c r="C73" s="30"/>
      <c r="D73" s="30"/>
      <c r="E73" s="30"/>
      <c r="F73" s="30"/>
      <c r="G73" s="30"/>
      <c r="H73" s="30"/>
      <c r="I73" s="30"/>
      <c r="J73" s="30"/>
    </row>
    <row r="74" spans="1:11">
      <c r="A74" s="30"/>
      <c r="B74" s="30"/>
      <c r="C74" s="30"/>
      <c r="D74" s="30"/>
      <c r="E74" s="30"/>
      <c r="F74" s="30"/>
      <c r="G74" s="30"/>
      <c r="H74" s="30"/>
      <c r="I74" s="30"/>
      <c r="J74" s="30"/>
    </row>
    <row r="75" spans="1:11">
      <c r="A75" s="30"/>
      <c r="B75" s="30"/>
      <c r="C75" s="30"/>
      <c r="D75" s="30"/>
      <c r="E75" s="30"/>
      <c r="F75" s="30"/>
      <c r="G75" s="30"/>
      <c r="H75" s="30"/>
      <c r="I75" s="30"/>
      <c r="J75" s="30"/>
    </row>
    <row r="76" spans="1:11">
      <c r="A76" s="30"/>
      <c r="B76" s="30"/>
      <c r="C76" s="30"/>
      <c r="D76" s="30"/>
      <c r="E76" s="30"/>
      <c r="F76" s="30"/>
      <c r="G76" s="30"/>
      <c r="H76" s="30"/>
      <c r="I76" s="30"/>
      <c r="J76" s="30"/>
    </row>
    <row r="77" spans="1:11">
      <c r="A77" s="30"/>
      <c r="B77" s="30"/>
      <c r="C77" s="30"/>
      <c r="D77" s="30"/>
      <c r="E77" s="30"/>
      <c r="F77" s="30"/>
      <c r="G77" s="30"/>
      <c r="H77" s="30"/>
      <c r="I77" s="30"/>
      <c r="J77" s="30"/>
    </row>
    <row r="78" spans="1:11">
      <c r="A78" s="30"/>
      <c r="B78" s="30"/>
      <c r="C78" s="30"/>
      <c r="D78" s="30"/>
      <c r="E78" s="30"/>
      <c r="F78" s="30"/>
      <c r="G78" s="30"/>
      <c r="H78" s="30"/>
      <c r="I78" s="30"/>
      <c r="J78" s="30"/>
    </row>
    <row r="79" spans="1:11">
      <c r="A79" s="30"/>
      <c r="B79" s="30"/>
      <c r="C79" s="30"/>
      <c r="D79" s="30"/>
      <c r="E79" s="30"/>
      <c r="F79" s="30"/>
      <c r="G79" s="30"/>
      <c r="H79" s="30"/>
      <c r="I79" s="30"/>
      <c r="J79" s="30"/>
    </row>
    <row r="80" spans="1:11">
      <c r="A80" s="30"/>
      <c r="B80" s="30"/>
      <c r="C80" s="30"/>
      <c r="D80" s="30"/>
      <c r="E80" s="30"/>
      <c r="F80" s="30"/>
      <c r="G80" s="30"/>
      <c r="H80" s="30"/>
      <c r="I80" s="30"/>
      <c r="J80" s="30"/>
    </row>
    <row r="81" spans="1:10">
      <c r="A81" s="30"/>
      <c r="B81" s="30"/>
      <c r="C81" s="30"/>
      <c r="D81" s="30"/>
      <c r="E81" s="30"/>
      <c r="F81" s="30"/>
      <c r="G81" s="30"/>
      <c r="H81" s="30"/>
      <c r="I81" s="30"/>
      <c r="J81" s="30"/>
    </row>
    <row r="82" spans="1:10">
      <c r="A82" s="30"/>
      <c r="B82" s="30"/>
      <c r="C82" s="30"/>
      <c r="D82" s="30"/>
      <c r="E82" s="30"/>
      <c r="F82" s="30"/>
      <c r="G82" s="35"/>
      <c r="H82" s="30"/>
      <c r="I82" s="30"/>
      <c r="J82" s="30"/>
    </row>
    <row r="83" spans="1:10">
      <c r="A83" s="30"/>
      <c r="B83" s="30"/>
      <c r="C83" s="30"/>
      <c r="D83" s="30"/>
      <c r="E83" s="30"/>
      <c r="F83" s="30"/>
      <c r="G83" s="30"/>
      <c r="H83" s="30"/>
      <c r="I83" s="30"/>
      <c r="J83" s="30"/>
    </row>
  </sheetData>
  <mergeCells count="114">
    <mergeCell ref="F12:G12"/>
    <mergeCell ref="F11:G11"/>
    <mergeCell ref="F13:G13"/>
    <mergeCell ref="C51:D51"/>
    <mergeCell ref="E51:F51"/>
    <mergeCell ref="C49:D49"/>
    <mergeCell ref="D12:E12"/>
    <mergeCell ref="D13:E13"/>
    <mergeCell ref="D14:E14"/>
    <mergeCell ref="D15:E15"/>
    <mergeCell ref="D17:E17"/>
    <mergeCell ref="D18:E18"/>
    <mergeCell ref="D38:E38"/>
    <mergeCell ref="F42:G42"/>
    <mergeCell ref="D40:E40"/>
    <mergeCell ref="F40:G40"/>
    <mergeCell ref="D32:E32"/>
    <mergeCell ref="D33:E33"/>
    <mergeCell ref="D36:E36"/>
    <mergeCell ref="F32:G32"/>
    <mergeCell ref="D20:E20"/>
    <mergeCell ref="E49:F49"/>
    <mergeCell ref="E50:F50"/>
    <mergeCell ref="H24:J24"/>
    <mergeCell ref="H25:J25"/>
    <mergeCell ref="F10:G10"/>
    <mergeCell ref="F38:G38"/>
    <mergeCell ref="H10:J10"/>
    <mergeCell ref="D19:E19"/>
    <mergeCell ref="F20:G20"/>
    <mergeCell ref="F43:G43"/>
    <mergeCell ref="D28:E28"/>
    <mergeCell ref="D27:E27"/>
    <mergeCell ref="F27:G27"/>
    <mergeCell ref="D37:E37"/>
    <mergeCell ref="D21:E21"/>
    <mergeCell ref="D25:E25"/>
    <mergeCell ref="D24:E24"/>
    <mergeCell ref="D26:E26"/>
    <mergeCell ref="D23:E23"/>
    <mergeCell ref="D29:E29"/>
    <mergeCell ref="F29:G29"/>
    <mergeCell ref="F33:G33"/>
    <mergeCell ref="F28:G28"/>
    <mergeCell ref="D10:E10"/>
    <mergeCell ref="D11:E11"/>
    <mergeCell ref="D16:E16"/>
    <mergeCell ref="E55:F55"/>
    <mergeCell ref="C54:D54"/>
    <mergeCell ref="E54:F54"/>
    <mergeCell ref="D30:E30"/>
    <mergeCell ref="H42:J42"/>
    <mergeCell ref="F31:G31"/>
    <mergeCell ref="H32:J32"/>
    <mergeCell ref="H33:J33"/>
    <mergeCell ref="H36:J36"/>
    <mergeCell ref="F37:G37"/>
    <mergeCell ref="H37:J37"/>
    <mergeCell ref="H30:J30"/>
    <mergeCell ref="D46:E46"/>
    <mergeCell ref="D42:E42"/>
    <mergeCell ref="H35:J35"/>
    <mergeCell ref="H38:J38"/>
    <mergeCell ref="F36:G36"/>
    <mergeCell ref="F39:G39"/>
    <mergeCell ref="H39:J39"/>
    <mergeCell ref="E65:F65"/>
    <mergeCell ref="G65:H65"/>
    <mergeCell ref="F61:G61"/>
    <mergeCell ref="D31:E31"/>
    <mergeCell ref="F23:G23"/>
    <mergeCell ref="E63:H63"/>
    <mergeCell ref="F60:G60"/>
    <mergeCell ref="C52:D52"/>
    <mergeCell ref="E52:F52"/>
    <mergeCell ref="C50:D50"/>
    <mergeCell ref="H43:J43"/>
    <mergeCell ref="D43:E43"/>
    <mergeCell ref="C59:E59"/>
    <mergeCell ref="E53:F53"/>
    <mergeCell ref="F44:G44"/>
    <mergeCell ref="H40:J40"/>
    <mergeCell ref="D39:E39"/>
    <mergeCell ref="C60:E60"/>
    <mergeCell ref="F59:G59"/>
    <mergeCell ref="C53:D53"/>
    <mergeCell ref="H26:J26"/>
    <mergeCell ref="H23:J23"/>
    <mergeCell ref="C58:E58"/>
    <mergeCell ref="F58:G58"/>
    <mergeCell ref="E7:H7"/>
    <mergeCell ref="D35:E35"/>
    <mergeCell ref="F35:G35"/>
    <mergeCell ref="H34:J34"/>
    <mergeCell ref="F14:G14"/>
    <mergeCell ref="F15:G15"/>
    <mergeCell ref="F16:G16"/>
    <mergeCell ref="F17:G17"/>
    <mergeCell ref="F18:G18"/>
    <mergeCell ref="F24:G24"/>
    <mergeCell ref="F25:G25"/>
    <mergeCell ref="F19:G19"/>
    <mergeCell ref="F26:G26"/>
    <mergeCell ref="F21:G21"/>
    <mergeCell ref="H31:J31"/>
    <mergeCell ref="F30:G30"/>
    <mergeCell ref="D34:E34"/>
    <mergeCell ref="F34:G34"/>
    <mergeCell ref="H29:J29"/>
    <mergeCell ref="D22:E22"/>
    <mergeCell ref="F22:G22"/>
    <mergeCell ref="H22:J22"/>
    <mergeCell ref="H27:J27"/>
    <mergeCell ref="H28:J28"/>
  </mergeCells>
  <phoneticPr fontId="0" type="noConversion"/>
  <pageMargins left="0.59055118110236227" right="0.75" top="1" bottom="1" header="0" footer="0"/>
  <pageSetup paperSize="9" scale="73" orientation="portrait" horizontalDpi="4294967293" verticalDpi="300" r:id="rId1"/>
  <headerFooter alignWithMargins="0"/>
  <colBreaks count="1" manualBreakCount="1">
    <brk id="10" max="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8"/>
  <sheetViews>
    <sheetView showGridLines="0" topLeftCell="A30" zoomScaleNormal="100" workbookViewId="0">
      <selection activeCell="C52" sqref="C52:D52"/>
    </sheetView>
  </sheetViews>
  <sheetFormatPr defaultColWidth="9.140625" defaultRowHeight="12.75"/>
  <cols>
    <col min="1" max="2" width="4.28515625" style="44" customWidth="1"/>
    <col min="3" max="10" width="12.42578125" style="44" customWidth="1"/>
    <col min="11" max="256" width="11.42578125" style="44" customWidth="1"/>
    <col min="257" max="16384" width="9.140625" style="44"/>
  </cols>
  <sheetData>
    <row r="1" spans="1:11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>
      <c r="A7" s="83"/>
      <c r="B7" s="83"/>
      <c r="C7" s="43"/>
      <c r="D7" s="43"/>
      <c r="E7" s="302" t="s">
        <v>2</v>
      </c>
      <c r="F7" s="302"/>
      <c r="G7" s="302"/>
      <c r="H7" s="302"/>
      <c r="I7" s="84" t="s">
        <v>32</v>
      </c>
      <c r="J7" s="85">
        <f>CARÁT!$F$16</f>
        <v>2024</v>
      </c>
      <c r="K7" s="43"/>
    </row>
    <row r="8" spans="1:11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>
      <c r="A10" s="41"/>
      <c r="B10" s="42" t="s">
        <v>4</v>
      </c>
      <c r="C10" s="42" t="s">
        <v>5</v>
      </c>
      <c r="D10" s="322" t="s">
        <v>6</v>
      </c>
      <c r="E10" s="323"/>
      <c r="F10" s="322" t="s">
        <v>7</v>
      </c>
      <c r="G10" s="323"/>
      <c r="H10" s="322" t="s">
        <v>8</v>
      </c>
      <c r="I10" s="324"/>
      <c r="J10" s="323"/>
      <c r="K10" s="43"/>
    </row>
    <row r="11" spans="1:11">
      <c r="A11" s="41"/>
      <c r="B11" s="48">
        <v>14</v>
      </c>
      <c r="C11" s="46">
        <v>45324</v>
      </c>
      <c r="D11" s="362" t="s">
        <v>12</v>
      </c>
      <c r="E11" s="362"/>
      <c r="F11" s="325">
        <v>64650</v>
      </c>
      <c r="G11" s="325"/>
      <c r="H11" s="47" t="s">
        <v>10</v>
      </c>
      <c r="I11" s="47"/>
      <c r="J11" s="47"/>
      <c r="K11" s="43"/>
    </row>
    <row r="12" spans="1:11">
      <c r="A12" s="41"/>
      <c r="B12" s="53">
        <v>15</v>
      </c>
      <c r="C12" s="46">
        <v>45342</v>
      </c>
      <c r="D12" s="363" t="s">
        <v>11</v>
      </c>
      <c r="E12" s="363"/>
      <c r="F12" s="305">
        <v>63150</v>
      </c>
      <c r="G12" s="305"/>
      <c r="H12" s="47" t="s">
        <v>10</v>
      </c>
      <c r="I12" s="47"/>
      <c r="J12" s="47"/>
      <c r="K12" s="43"/>
    </row>
    <row r="13" spans="1:11">
      <c r="A13" s="41"/>
      <c r="B13" s="53"/>
      <c r="C13" s="46"/>
      <c r="D13" s="363"/>
      <c r="E13" s="363"/>
      <c r="F13" s="305"/>
      <c r="G13" s="305"/>
      <c r="H13" s="47"/>
      <c r="I13" s="47"/>
      <c r="J13" s="47"/>
      <c r="K13" s="43"/>
    </row>
    <row r="14" spans="1:11">
      <c r="A14" s="41"/>
      <c r="B14" s="53"/>
      <c r="C14" s="46"/>
      <c r="D14" s="363"/>
      <c r="E14" s="363"/>
      <c r="F14" s="305"/>
      <c r="G14" s="305"/>
      <c r="H14" s="47"/>
      <c r="I14" s="47"/>
      <c r="J14" s="47"/>
      <c r="K14" s="43"/>
    </row>
    <row r="15" spans="1:11">
      <c r="A15" s="41"/>
      <c r="B15" s="53"/>
      <c r="C15" s="46"/>
      <c r="D15" s="363"/>
      <c r="E15" s="363"/>
      <c r="F15" s="305"/>
      <c r="G15" s="305"/>
      <c r="H15" s="47"/>
      <c r="I15" s="47"/>
      <c r="J15" s="47"/>
      <c r="K15" s="43"/>
    </row>
    <row r="16" spans="1:11">
      <c r="A16" s="41"/>
      <c r="B16" s="53"/>
      <c r="C16" s="46"/>
      <c r="D16" s="363"/>
      <c r="E16" s="363"/>
      <c r="F16" s="305"/>
      <c r="G16" s="305"/>
      <c r="H16" s="47"/>
      <c r="I16" s="47"/>
      <c r="J16" s="47"/>
      <c r="K16" s="43"/>
    </row>
    <row r="17" spans="1:11">
      <c r="A17" s="41"/>
      <c r="B17" s="53"/>
      <c r="C17" s="46"/>
      <c r="D17" s="363"/>
      <c r="E17" s="363"/>
      <c r="F17" s="305"/>
      <c r="G17" s="305"/>
      <c r="H17" s="47"/>
      <c r="I17" s="47"/>
      <c r="J17" s="47"/>
      <c r="K17" s="43"/>
    </row>
    <row r="18" spans="1:11">
      <c r="A18" s="41"/>
      <c r="B18" s="41"/>
      <c r="C18" s="46"/>
      <c r="D18" s="363"/>
      <c r="E18" s="363"/>
      <c r="F18" s="305"/>
      <c r="G18" s="305"/>
      <c r="H18" s="303"/>
      <c r="I18" s="303"/>
      <c r="J18" s="303"/>
      <c r="K18" s="43"/>
    </row>
    <row r="19" spans="1:11">
      <c r="A19" s="41"/>
      <c r="B19" s="41"/>
      <c r="C19" s="46"/>
      <c r="D19" s="363"/>
      <c r="E19" s="363"/>
      <c r="F19" s="305"/>
      <c r="G19" s="305"/>
      <c r="H19" s="303"/>
      <c r="I19" s="303"/>
      <c r="J19" s="303"/>
      <c r="K19" s="43"/>
    </row>
    <row r="20" spans="1:11">
      <c r="A20" s="41"/>
      <c r="B20" s="41"/>
      <c r="C20" s="46"/>
      <c r="D20" s="363"/>
      <c r="E20" s="363"/>
      <c r="F20" s="305"/>
      <c r="G20" s="305"/>
      <c r="H20" s="303"/>
      <c r="I20" s="303"/>
      <c r="J20" s="303"/>
      <c r="K20" s="43"/>
    </row>
    <row r="21" spans="1:11">
      <c r="A21" s="41"/>
      <c r="B21" s="41"/>
      <c r="C21" s="46"/>
      <c r="D21" s="363"/>
      <c r="E21" s="363"/>
      <c r="F21" s="305"/>
      <c r="G21" s="305"/>
      <c r="H21" s="303"/>
      <c r="I21" s="303"/>
      <c r="J21" s="303"/>
      <c r="K21" s="43"/>
    </row>
    <row r="22" spans="1:11">
      <c r="A22" s="41"/>
      <c r="B22" s="41"/>
      <c r="C22" s="46"/>
      <c r="D22" s="363"/>
      <c r="E22" s="363"/>
      <c r="F22" s="305"/>
      <c r="G22" s="305"/>
      <c r="H22" s="303"/>
      <c r="I22" s="303"/>
      <c r="J22" s="303"/>
      <c r="K22" s="43"/>
    </row>
    <row r="23" spans="1:11">
      <c r="A23" s="41"/>
      <c r="B23" s="41"/>
      <c r="C23" s="46"/>
      <c r="D23" s="363"/>
      <c r="E23" s="363"/>
      <c r="F23" s="305"/>
      <c r="G23" s="305"/>
      <c r="H23" s="303"/>
      <c r="I23" s="303"/>
      <c r="J23" s="303"/>
      <c r="K23" s="43"/>
    </row>
    <row r="24" spans="1:11">
      <c r="A24" s="41"/>
      <c r="B24" s="41"/>
      <c r="C24" s="46"/>
      <c r="D24" s="363"/>
      <c r="E24" s="363"/>
      <c r="F24" s="305"/>
      <c r="G24" s="305"/>
      <c r="H24" s="303"/>
      <c r="I24" s="303"/>
      <c r="J24" s="303"/>
      <c r="K24" s="43"/>
    </row>
    <row r="25" spans="1:11">
      <c r="A25" s="41"/>
      <c r="B25" s="41"/>
      <c r="C25" s="46"/>
      <c r="D25" s="363"/>
      <c r="E25" s="363"/>
      <c r="F25" s="305"/>
      <c r="G25" s="305"/>
      <c r="H25" s="303"/>
      <c r="I25" s="303"/>
      <c r="J25" s="303"/>
      <c r="K25" s="43"/>
    </row>
    <row r="26" spans="1:11">
      <c r="A26" s="41"/>
      <c r="B26" s="41"/>
      <c r="C26" s="46"/>
      <c r="D26" s="363"/>
      <c r="E26" s="363"/>
      <c r="F26" s="305"/>
      <c r="G26" s="305"/>
      <c r="H26" s="303"/>
      <c r="I26" s="303"/>
      <c r="J26" s="303"/>
      <c r="K26" s="43"/>
    </row>
    <row r="27" spans="1:11">
      <c r="A27" s="41"/>
      <c r="B27" s="41"/>
      <c r="C27" s="46"/>
      <c r="D27" s="363"/>
      <c r="E27" s="363"/>
      <c r="F27" s="305"/>
      <c r="G27" s="305"/>
      <c r="H27" s="303"/>
      <c r="I27" s="303"/>
      <c r="J27" s="303"/>
      <c r="K27" s="43"/>
    </row>
    <row r="28" spans="1:11">
      <c r="A28" s="41"/>
      <c r="B28" s="41"/>
      <c r="C28" s="46"/>
      <c r="D28" s="363"/>
      <c r="E28" s="363"/>
      <c r="F28" s="305"/>
      <c r="G28" s="305"/>
      <c r="H28" s="303"/>
      <c r="I28" s="303"/>
      <c r="J28" s="303"/>
      <c r="K28" s="43"/>
    </row>
    <row r="29" spans="1:11">
      <c r="A29" s="41"/>
      <c r="B29" s="41"/>
      <c r="C29" s="46"/>
      <c r="D29" s="363"/>
      <c r="E29" s="363"/>
      <c r="F29" s="305"/>
      <c r="G29" s="305"/>
      <c r="H29" s="303"/>
      <c r="I29" s="303"/>
      <c r="J29" s="303"/>
      <c r="K29" s="43"/>
    </row>
    <row r="30" spans="1:11">
      <c r="A30" s="41"/>
      <c r="B30" s="41"/>
      <c r="C30" s="46"/>
      <c r="D30" s="363"/>
      <c r="E30" s="363"/>
      <c r="F30" s="304"/>
      <c r="G30" s="304"/>
      <c r="H30" s="303"/>
      <c r="I30" s="303"/>
      <c r="J30" s="303"/>
      <c r="K30" s="43"/>
    </row>
    <row r="31" spans="1:11">
      <c r="A31" s="41"/>
      <c r="B31" s="41"/>
      <c r="C31" s="46"/>
      <c r="D31" s="363"/>
      <c r="E31" s="363"/>
      <c r="F31" s="304"/>
      <c r="G31" s="304"/>
      <c r="H31" s="303"/>
      <c r="I31" s="303"/>
      <c r="J31" s="303"/>
      <c r="K31" s="43"/>
    </row>
    <row r="32" spans="1:11">
      <c r="A32" s="41"/>
      <c r="B32" s="41"/>
      <c r="C32" s="46"/>
      <c r="D32" s="363"/>
      <c r="E32" s="363"/>
      <c r="F32" s="304"/>
      <c r="G32" s="304"/>
      <c r="H32" s="303"/>
      <c r="I32" s="303"/>
      <c r="J32" s="303"/>
      <c r="K32" s="43"/>
    </row>
    <row r="33" spans="1:11">
      <c r="A33" s="41"/>
      <c r="B33" s="41"/>
      <c r="C33" s="46"/>
      <c r="D33" s="363"/>
      <c r="E33" s="363"/>
      <c r="F33" s="304"/>
      <c r="G33" s="304"/>
      <c r="H33" s="303"/>
      <c r="I33" s="303"/>
      <c r="J33" s="303"/>
      <c r="K33" s="43"/>
    </row>
    <row r="34" spans="1:11">
      <c r="A34" s="41"/>
      <c r="B34" s="41"/>
      <c r="C34" s="46"/>
      <c r="D34" s="366"/>
      <c r="E34" s="366"/>
      <c r="F34" s="304"/>
      <c r="G34" s="304"/>
      <c r="H34" s="303"/>
      <c r="I34" s="303"/>
      <c r="J34" s="303"/>
      <c r="K34" s="43"/>
    </row>
    <row r="35" spans="1:11">
      <c r="A35" s="41"/>
      <c r="B35" s="41"/>
      <c r="C35" s="46"/>
      <c r="D35" s="303"/>
      <c r="E35" s="303"/>
      <c r="F35" s="304"/>
      <c r="G35" s="304"/>
      <c r="H35" s="303"/>
      <c r="I35" s="303"/>
      <c r="J35" s="303"/>
      <c r="K35" s="43"/>
    </row>
    <row r="36" spans="1:11">
      <c r="A36" s="41"/>
      <c r="B36" s="41"/>
      <c r="C36" s="46"/>
      <c r="D36" s="303"/>
      <c r="E36" s="303"/>
      <c r="F36" s="326"/>
      <c r="G36" s="326"/>
      <c r="H36" s="41"/>
      <c r="I36" s="41"/>
      <c r="J36" s="41"/>
      <c r="K36" s="43"/>
    </row>
    <row r="37" spans="1:11">
      <c r="A37" s="41"/>
      <c r="B37" s="41"/>
      <c r="C37" s="46"/>
      <c r="D37" s="303"/>
      <c r="E37" s="303"/>
      <c r="F37" s="327"/>
      <c r="G37" s="327"/>
      <c r="H37" s="303"/>
      <c r="I37" s="303"/>
      <c r="J37" s="303"/>
      <c r="K37" s="43"/>
    </row>
    <row r="38" spans="1:11">
      <c r="A38" s="41"/>
      <c r="B38" s="41"/>
      <c r="C38" s="46"/>
      <c r="D38" s="303"/>
      <c r="E38" s="303"/>
      <c r="F38" s="327"/>
      <c r="G38" s="327"/>
      <c r="H38" s="303"/>
      <c r="I38" s="303"/>
      <c r="J38" s="303"/>
      <c r="K38" s="43"/>
    </row>
    <row r="39" spans="1:11">
      <c r="A39" s="41"/>
      <c r="B39" s="41"/>
      <c r="C39" s="46"/>
      <c r="D39" s="303"/>
      <c r="E39" s="303"/>
      <c r="F39" s="327"/>
      <c r="G39" s="327"/>
      <c r="H39" s="303"/>
      <c r="I39" s="303"/>
      <c r="J39" s="303"/>
      <c r="K39" s="43"/>
    </row>
    <row r="40" spans="1:11">
      <c r="A40" s="41"/>
      <c r="B40" s="41"/>
      <c r="C40" s="46"/>
      <c r="D40" s="303"/>
      <c r="E40" s="303"/>
      <c r="F40" s="327"/>
      <c r="G40" s="327"/>
      <c r="H40" s="303"/>
      <c r="I40" s="303"/>
      <c r="J40" s="303"/>
      <c r="K40" s="43"/>
    </row>
    <row r="41" spans="1:11">
      <c r="A41" s="41"/>
      <c r="B41" s="41"/>
      <c r="C41" s="46"/>
      <c r="D41" s="303"/>
      <c r="E41" s="303"/>
      <c r="F41" s="327"/>
      <c r="G41" s="327"/>
      <c r="H41" s="303"/>
      <c r="I41" s="303"/>
      <c r="J41" s="303"/>
      <c r="K41" s="43"/>
    </row>
    <row r="42" spans="1:11">
      <c r="A42" s="41"/>
      <c r="B42" s="41"/>
      <c r="C42" s="46"/>
      <c r="D42" s="303"/>
      <c r="E42" s="303"/>
      <c r="F42" s="327"/>
      <c r="G42" s="327"/>
      <c r="H42" s="303"/>
      <c r="I42" s="303"/>
      <c r="J42" s="303"/>
      <c r="K42" s="43"/>
    </row>
    <row r="43" spans="1:11">
      <c r="A43" s="41"/>
      <c r="B43" s="41"/>
      <c r="C43" s="46"/>
      <c r="D43" s="303"/>
      <c r="E43" s="303"/>
      <c r="F43" s="328"/>
      <c r="G43" s="328"/>
      <c r="H43" s="303"/>
      <c r="I43" s="303"/>
      <c r="J43" s="303"/>
      <c r="K43" s="43"/>
    </row>
    <row r="44" spans="1:11">
      <c r="A44" s="41"/>
      <c r="B44" s="41"/>
      <c r="C44" s="46"/>
      <c r="D44" s="303"/>
      <c r="E44" s="303"/>
      <c r="F44" s="326"/>
      <c r="G44" s="326"/>
      <c r="H44" s="303"/>
      <c r="I44" s="303"/>
      <c r="J44" s="303"/>
      <c r="K44" s="43"/>
    </row>
    <row r="45" spans="1:11">
      <c r="A45" s="41"/>
      <c r="B45" s="41"/>
      <c r="C45" s="46"/>
      <c r="D45" s="41"/>
      <c r="E45" s="41"/>
      <c r="F45" s="63"/>
      <c r="G45" s="63"/>
      <c r="H45" s="41"/>
      <c r="I45" s="41"/>
      <c r="J45" s="41"/>
      <c r="K45" s="43"/>
    </row>
    <row r="46" spans="1:11">
      <c r="A46" s="41"/>
      <c r="B46" s="41"/>
      <c r="C46" s="51"/>
      <c r="D46" s="52"/>
      <c r="E46" s="52"/>
      <c r="F46" s="329">
        <f>SUM(F11:G44)</f>
        <v>127800</v>
      </c>
      <c r="G46" s="330"/>
      <c r="H46" s="53"/>
      <c r="I46" s="53"/>
      <c r="J46" s="53"/>
      <c r="K46" s="43"/>
    </row>
    <row r="47" spans="1:11">
      <c r="A47" s="41"/>
      <c r="B47" s="41"/>
      <c r="C47" s="55"/>
      <c r="D47" s="55"/>
      <c r="E47" s="56"/>
      <c r="F47" s="55"/>
      <c r="G47" s="55"/>
      <c r="H47" s="55"/>
      <c r="I47" s="55"/>
      <c r="J47" s="55"/>
      <c r="K47" s="43"/>
    </row>
    <row r="48" spans="1:11">
      <c r="A48" s="41"/>
      <c r="B48" s="41"/>
      <c r="C48" s="55"/>
      <c r="D48" s="319" t="s">
        <v>14</v>
      </c>
      <c r="E48" s="319"/>
      <c r="F48" s="55"/>
      <c r="G48" s="58">
        <f>F46/1000</f>
        <v>127.8</v>
      </c>
      <c r="H48" s="55"/>
      <c r="I48" s="54"/>
      <c r="J48" s="55"/>
      <c r="K48" s="43"/>
    </row>
    <row r="49" spans="1:11">
      <c r="A49" s="41"/>
      <c r="B49" s="41"/>
      <c r="C49" s="55"/>
      <c r="D49" s="55"/>
      <c r="E49" s="56"/>
      <c r="F49" s="55"/>
      <c r="G49" s="55"/>
      <c r="H49" s="55"/>
      <c r="I49" s="54"/>
      <c r="J49" s="55"/>
      <c r="K49" s="43"/>
    </row>
    <row r="50" spans="1:11">
      <c r="A50" s="41"/>
      <c r="B50" s="41"/>
      <c r="C50" s="55"/>
      <c r="D50" s="55"/>
      <c r="E50" s="55"/>
      <c r="F50" s="55"/>
      <c r="G50" s="55"/>
      <c r="H50" s="55"/>
      <c r="I50" s="55"/>
      <c r="J50" s="55"/>
      <c r="K50" s="43"/>
    </row>
    <row r="51" spans="1:11">
      <c r="A51" s="41"/>
      <c r="B51" s="41"/>
      <c r="C51" s="331" t="s">
        <v>15</v>
      </c>
      <c r="D51" s="316"/>
      <c r="E51" s="331" t="s">
        <v>16</v>
      </c>
      <c r="F51" s="316"/>
      <c r="G51" s="59" t="s">
        <v>17</v>
      </c>
      <c r="H51" s="59" t="s">
        <v>18</v>
      </c>
      <c r="I51" s="55"/>
      <c r="J51" s="55"/>
      <c r="K51" s="43"/>
    </row>
    <row r="52" spans="1:11">
      <c r="A52" s="41"/>
      <c r="B52" s="41"/>
      <c r="C52" s="303" t="s">
        <v>19</v>
      </c>
      <c r="D52" s="303"/>
      <c r="E52" s="367">
        <f>F11+F12</f>
        <v>127800</v>
      </c>
      <c r="F52" s="367"/>
      <c r="G52" s="61">
        <f>E52/E57</f>
        <v>1</v>
      </c>
      <c r="H52" s="48">
        <v>2</v>
      </c>
      <c r="I52" s="87"/>
      <c r="J52" s="55"/>
      <c r="K52" s="43"/>
    </row>
    <row r="53" spans="1:11">
      <c r="A53" s="41"/>
      <c r="B53" s="41"/>
      <c r="C53" s="303"/>
      <c r="D53" s="303"/>
      <c r="E53" s="364"/>
      <c r="F53" s="364"/>
      <c r="G53" s="61">
        <f>E53/E57</f>
        <v>0</v>
      </c>
      <c r="H53" s="48"/>
      <c r="I53" s="55"/>
      <c r="J53" s="55"/>
      <c r="K53" s="43"/>
    </row>
    <row r="54" spans="1:11">
      <c r="A54" s="41"/>
      <c r="B54" s="41"/>
      <c r="C54" s="303"/>
      <c r="D54" s="303"/>
      <c r="E54" s="364"/>
      <c r="F54" s="364"/>
      <c r="G54" s="61">
        <f>E54/E57</f>
        <v>0</v>
      </c>
      <c r="H54" s="48"/>
      <c r="I54" s="55"/>
      <c r="J54" s="55"/>
      <c r="K54" s="43"/>
    </row>
    <row r="55" spans="1:11">
      <c r="A55" s="41"/>
      <c r="B55" s="41"/>
      <c r="C55" s="303"/>
      <c r="D55" s="303"/>
      <c r="E55" s="304"/>
      <c r="F55" s="304"/>
      <c r="G55" s="61">
        <f>E55/E57</f>
        <v>0</v>
      </c>
      <c r="H55" s="48"/>
      <c r="I55" s="55"/>
      <c r="J55" s="55"/>
      <c r="K55" s="43"/>
    </row>
    <row r="56" spans="1:11">
      <c r="A56" s="41"/>
      <c r="B56" s="41"/>
      <c r="C56" s="303"/>
      <c r="D56" s="303"/>
      <c r="E56" s="318"/>
      <c r="F56" s="318"/>
      <c r="G56" s="61">
        <f>E56/E57</f>
        <v>0</v>
      </c>
      <c r="H56" s="48"/>
      <c r="I56" s="55"/>
      <c r="J56" s="55"/>
      <c r="K56" s="43"/>
    </row>
    <row r="57" spans="1:11">
      <c r="A57" s="41"/>
      <c r="B57" s="41"/>
      <c r="C57" s="64"/>
      <c r="D57" s="57" t="s">
        <v>21</v>
      </c>
      <c r="E57" s="368">
        <f>SUM(E52:F56)</f>
        <v>127800</v>
      </c>
      <c r="F57" s="369"/>
      <c r="G57" s="65">
        <f>SUM(G52:G56)</f>
        <v>1</v>
      </c>
      <c r="H57" s="66">
        <f>SUM(H52:H56)</f>
        <v>2</v>
      </c>
      <c r="I57" s="55"/>
      <c r="J57" s="55"/>
      <c r="K57" s="43"/>
    </row>
    <row r="58" spans="1:11">
      <c r="A58" s="41"/>
      <c r="B58" s="41"/>
      <c r="C58" s="67"/>
      <c r="D58" s="67"/>
      <c r="E58" s="52"/>
      <c r="F58" s="52"/>
      <c r="G58" s="52"/>
      <c r="H58" s="55"/>
      <c r="I58" s="55"/>
      <c r="J58" s="55"/>
      <c r="K58" s="43"/>
    </row>
    <row r="59" spans="1:11">
      <c r="A59" s="41"/>
      <c r="B59" s="41"/>
      <c r="C59" s="67"/>
      <c r="D59" s="67"/>
      <c r="E59" s="52"/>
      <c r="F59" s="52"/>
      <c r="G59" s="52"/>
      <c r="H59" s="55"/>
      <c r="I59" s="55"/>
      <c r="J59" s="55"/>
      <c r="K59" s="43"/>
    </row>
    <row r="60" spans="1:11">
      <c r="A60" s="41"/>
      <c r="B60" s="41"/>
      <c r="C60" s="68"/>
      <c r="D60" s="55"/>
      <c r="E60" s="54"/>
      <c r="F60" s="69"/>
      <c r="G60" s="70"/>
      <c r="H60" s="55"/>
      <c r="I60" s="55"/>
      <c r="J60" s="54"/>
      <c r="K60" s="43"/>
    </row>
    <row r="61" spans="1:11">
      <c r="A61" s="41"/>
      <c r="B61" s="41"/>
      <c r="C61" s="331" t="s">
        <v>8</v>
      </c>
      <c r="D61" s="333"/>
      <c r="E61" s="316"/>
      <c r="F61" s="331" t="s">
        <v>7</v>
      </c>
      <c r="G61" s="316"/>
      <c r="H61" s="59" t="s">
        <v>17</v>
      </c>
      <c r="I61" s="55"/>
      <c r="J61" s="55"/>
      <c r="K61" s="43"/>
    </row>
    <row r="62" spans="1:11">
      <c r="A62" s="41"/>
      <c r="B62" s="41"/>
      <c r="C62" s="332" t="s">
        <v>22</v>
      </c>
      <c r="D62" s="332"/>
      <c r="E62" s="332"/>
      <c r="F62" s="312"/>
      <c r="G62" s="312"/>
      <c r="H62" s="61">
        <f>F62/F64</f>
        <v>0</v>
      </c>
      <c r="I62" s="87"/>
      <c r="J62" s="55"/>
      <c r="K62" s="43"/>
    </row>
    <row r="63" spans="1:11">
      <c r="A63" s="41"/>
      <c r="B63" s="41"/>
      <c r="C63" s="303" t="s">
        <v>23</v>
      </c>
      <c r="D63" s="303"/>
      <c r="E63" s="303"/>
      <c r="F63" s="318">
        <f>F46</f>
        <v>127800</v>
      </c>
      <c r="G63" s="318"/>
      <c r="H63" s="61">
        <f>F63/F64</f>
        <v>1</v>
      </c>
      <c r="I63" s="55"/>
      <c r="J63" s="55"/>
      <c r="K63" s="43"/>
    </row>
    <row r="64" spans="1:11">
      <c r="A64" s="41"/>
      <c r="B64" s="41"/>
      <c r="C64" s="55"/>
      <c r="D64" s="55" t="s">
        <v>21</v>
      </c>
      <c r="E64" s="55"/>
      <c r="F64" s="329">
        <f>SUM(F62:G63)</f>
        <v>127800</v>
      </c>
      <c r="G64" s="330"/>
      <c r="H64" s="65">
        <f>SUM(H62:H63)</f>
        <v>1</v>
      </c>
      <c r="I64" s="54"/>
      <c r="J64" s="55"/>
      <c r="K64" s="43"/>
    </row>
    <row r="65" spans="1:11">
      <c r="A65" s="41"/>
      <c r="B65" s="41"/>
      <c r="C65" s="55"/>
      <c r="D65" s="55"/>
      <c r="E65" s="55"/>
      <c r="F65" s="88"/>
      <c r="G65" s="88"/>
      <c r="H65" s="89"/>
      <c r="I65" s="55"/>
      <c r="J65" s="55"/>
      <c r="K65" s="43"/>
    </row>
    <row r="66" spans="1:11">
      <c r="A66" s="41"/>
      <c r="B66" s="41"/>
      <c r="C66" s="55"/>
      <c r="D66" s="55"/>
      <c r="E66" s="55"/>
      <c r="F66" s="88"/>
      <c r="G66" s="88"/>
      <c r="H66" s="89"/>
      <c r="I66" s="55"/>
      <c r="J66" s="55"/>
      <c r="K66" s="43"/>
    </row>
    <row r="67" spans="1:11">
      <c r="A67" s="41"/>
      <c r="B67" s="41"/>
      <c r="C67" s="55"/>
      <c r="D67" s="43"/>
      <c r="E67" s="309" t="s">
        <v>24</v>
      </c>
      <c r="F67" s="309"/>
      <c r="G67" s="309"/>
      <c r="H67" s="309"/>
      <c r="I67" s="55"/>
      <c r="J67" s="55"/>
      <c r="K67" s="43"/>
    </row>
    <row r="68" spans="1:11">
      <c r="A68" s="41"/>
      <c r="B68" s="41"/>
      <c r="C68" s="55"/>
      <c r="D68" s="72"/>
      <c r="E68" s="55"/>
      <c r="F68" s="55"/>
      <c r="G68" s="55"/>
      <c r="H68" s="55"/>
      <c r="I68" s="55"/>
      <c r="J68" s="55"/>
      <c r="K68" s="43"/>
    </row>
    <row r="69" spans="1:11">
      <c r="A69" s="55"/>
      <c r="B69" s="55"/>
      <c r="C69" s="55"/>
      <c r="D69" s="73" t="s">
        <v>25</v>
      </c>
      <c r="E69" s="306" t="s">
        <v>26</v>
      </c>
      <c r="F69" s="307"/>
      <c r="G69" s="306" t="s">
        <v>27</v>
      </c>
      <c r="H69" s="307"/>
      <c r="I69" s="55"/>
      <c r="J69" s="55"/>
      <c r="K69" s="43"/>
    </row>
    <row r="70" spans="1:11">
      <c r="A70" s="55"/>
      <c r="B70" s="55"/>
      <c r="C70" s="55"/>
      <c r="D70" s="74" t="s">
        <v>28</v>
      </c>
      <c r="E70" s="96" t="s">
        <v>29</v>
      </c>
      <c r="F70" s="96" t="s">
        <v>30</v>
      </c>
      <c r="G70" s="78" t="s">
        <v>29</v>
      </c>
      <c r="H70" s="78" t="s">
        <v>30</v>
      </c>
      <c r="I70" s="55"/>
      <c r="J70" s="55"/>
      <c r="K70" s="43"/>
    </row>
    <row r="71" spans="1:11">
      <c r="A71" s="55"/>
      <c r="B71" s="55"/>
      <c r="C71" s="55"/>
      <c r="D71" s="90" t="s">
        <v>31</v>
      </c>
      <c r="E71" s="91">
        <f>Comparativos!$BA$13</f>
        <v>123.39</v>
      </c>
      <c r="F71" s="92">
        <f>Comparativos!$BB$13</f>
        <v>4</v>
      </c>
      <c r="G71" s="93">
        <f>ENE!G46</f>
        <v>417.87</v>
      </c>
      <c r="H71" s="92">
        <f>ENE!H55</f>
        <v>8</v>
      </c>
      <c r="I71" s="55"/>
      <c r="J71" s="55"/>
      <c r="K71" s="43"/>
    </row>
    <row r="72" spans="1:11">
      <c r="A72" s="55"/>
      <c r="B72" s="55"/>
      <c r="C72" s="55"/>
      <c r="D72" s="94" t="s">
        <v>33</v>
      </c>
      <c r="E72" s="76">
        <f>Comparativos!$BA$14</f>
        <v>176.79</v>
      </c>
      <c r="F72" s="77">
        <f>Comparativos!$BB$14</f>
        <v>6</v>
      </c>
      <c r="G72" s="95">
        <f>$G$48</f>
        <v>127.8</v>
      </c>
      <c r="H72" s="77">
        <f>$H$57</f>
        <v>2</v>
      </c>
      <c r="I72" s="55"/>
      <c r="J72" s="55"/>
      <c r="K72" s="43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43"/>
    </row>
    <row r="74" spans="1:11">
      <c r="A74" s="55"/>
      <c r="B74" s="55"/>
      <c r="C74" s="55"/>
      <c r="D74" s="55"/>
      <c r="E74" s="79">
        <f>SUM(E71:E73)</f>
        <v>300.18</v>
      </c>
      <c r="F74" s="80">
        <f>SUM(F71:F73)</f>
        <v>10</v>
      </c>
      <c r="G74" s="79">
        <f>SUM(G71:G72)</f>
        <v>545.66999999999996</v>
      </c>
      <c r="H74" s="80">
        <f>SUM(H71:H72)</f>
        <v>10</v>
      </c>
      <c r="I74" s="55"/>
      <c r="J74" s="55"/>
      <c r="K74" s="43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1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>
      <c r="A81" s="43"/>
      <c r="B81" s="43"/>
      <c r="C81" s="43"/>
      <c r="D81" s="43"/>
      <c r="E81" s="43"/>
      <c r="F81" s="43"/>
      <c r="G81" s="43"/>
      <c r="H81" s="43"/>
      <c r="I81" s="43"/>
      <c r="J81" s="43"/>
    </row>
    <row r="82" spans="1:10">
      <c r="A82" s="43"/>
      <c r="B82" s="43"/>
      <c r="C82" s="43"/>
      <c r="D82" s="43"/>
      <c r="E82" s="43"/>
      <c r="F82" s="43"/>
      <c r="G82" s="43"/>
      <c r="H82" s="43"/>
      <c r="I82" s="43"/>
      <c r="J82" s="43"/>
    </row>
    <row r="83" spans="1:10">
      <c r="A83" s="43"/>
      <c r="B83" s="43"/>
      <c r="C83" s="43"/>
      <c r="D83" s="43"/>
      <c r="E83" s="43"/>
      <c r="F83" s="43"/>
      <c r="G83" s="43"/>
      <c r="H83" s="43"/>
      <c r="I83" s="43"/>
      <c r="J83" s="43"/>
    </row>
    <row r="84" spans="1:10">
      <c r="A84" s="43"/>
      <c r="B84" s="43"/>
      <c r="C84" s="43"/>
      <c r="D84" s="43"/>
      <c r="E84" s="43"/>
      <c r="F84" s="43"/>
      <c r="G84" s="43"/>
      <c r="H84" s="43"/>
      <c r="I84" s="43"/>
      <c r="J84" s="43"/>
    </row>
    <row r="85" spans="1:10">
      <c r="A85" s="43"/>
      <c r="B85" s="43"/>
      <c r="C85" s="43"/>
      <c r="D85" s="43"/>
      <c r="E85" s="43"/>
      <c r="F85" s="43"/>
      <c r="G85" s="43"/>
      <c r="H85" s="43"/>
      <c r="I85" s="43"/>
      <c r="J85" s="43"/>
    </row>
    <row r="86" spans="1:10">
      <c r="A86" s="43"/>
      <c r="B86" s="43"/>
      <c r="C86" s="43"/>
      <c r="D86" s="43"/>
      <c r="E86" s="43"/>
      <c r="F86" s="43"/>
      <c r="G86" s="43"/>
      <c r="H86" s="43"/>
      <c r="I86" s="43"/>
      <c r="J86" s="43"/>
    </row>
    <row r="87" spans="1:10">
      <c r="A87" s="43"/>
      <c r="B87" s="43"/>
      <c r="C87" s="43"/>
      <c r="D87" s="43"/>
      <c r="E87" s="43"/>
      <c r="F87" s="43"/>
      <c r="G87" s="43"/>
      <c r="H87" s="43"/>
      <c r="I87" s="43"/>
      <c r="J87" s="43"/>
    </row>
    <row r="88" spans="1:10">
      <c r="A88" s="43"/>
      <c r="B88" s="43"/>
      <c r="C88" s="43"/>
      <c r="D88" s="43"/>
      <c r="E88" s="43"/>
      <c r="F88" s="43"/>
      <c r="G88" s="43"/>
      <c r="H88" s="43"/>
      <c r="I88" s="43"/>
      <c r="J88" s="43"/>
    </row>
  </sheetData>
  <mergeCells count="123">
    <mergeCell ref="H39:J39"/>
    <mergeCell ref="H40:J40"/>
    <mergeCell ref="D44:E44"/>
    <mergeCell ref="F41:G41"/>
    <mergeCell ref="F42:G42"/>
    <mergeCell ref="H42:J42"/>
    <mergeCell ref="D41:E41"/>
    <mergeCell ref="H41:J41"/>
    <mergeCell ref="H43:J43"/>
    <mergeCell ref="H44:J44"/>
    <mergeCell ref="D43:E43"/>
    <mergeCell ref="E69:F69"/>
    <mergeCell ref="G69:H69"/>
    <mergeCell ref="F46:G46"/>
    <mergeCell ref="D48:E48"/>
    <mergeCell ref="E51:F51"/>
    <mergeCell ref="C51:D51"/>
    <mergeCell ref="C55:D55"/>
    <mergeCell ref="E52:F52"/>
    <mergeCell ref="C53:D53"/>
    <mergeCell ref="F64:G64"/>
    <mergeCell ref="E53:F53"/>
    <mergeCell ref="E55:F55"/>
    <mergeCell ref="E56:F56"/>
    <mergeCell ref="C56:D56"/>
    <mergeCell ref="C62:E62"/>
    <mergeCell ref="C63:E63"/>
    <mergeCell ref="C54:D54"/>
    <mergeCell ref="E54:F54"/>
    <mergeCell ref="E57:F57"/>
    <mergeCell ref="C61:E61"/>
    <mergeCell ref="F61:G61"/>
    <mergeCell ref="F63:G63"/>
    <mergeCell ref="C52:D52"/>
    <mergeCell ref="F62:G62"/>
    <mergeCell ref="D16:E16"/>
    <mergeCell ref="F16:G16"/>
    <mergeCell ref="D15:E15"/>
    <mergeCell ref="D20:E20"/>
    <mergeCell ref="F20:G20"/>
    <mergeCell ref="H20:J20"/>
    <mergeCell ref="E67:H67"/>
    <mergeCell ref="D36:E36"/>
    <mergeCell ref="F36:G36"/>
    <mergeCell ref="D37:E37"/>
    <mergeCell ref="F37:G37"/>
    <mergeCell ref="F44:G44"/>
    <mergeCell ref="F43:G43"/>
    <mergeCell ref="D39:E39"/>
    <mergeCell ref="F39:G39"/>
    <mergeCell ref="D40:E40"/>
    <mergeCell ref="F40:G40"/>
    <mergeCell ref="H37:J37"/>
    <mergeCell ref="H38:J38"/>
    <mergeCell ref="F38:G38"/>
    <mergeCell ref="D38:E38"/>
    <mergeCell ref="D42:E42"/>
    <mergeCell ref="F19:G19"/>
    <mergeCell ref="H19:J19"/>
    <mergeCell ref="D10:E10"/>
    <mergeCell ref="F10:G10"/>
    <mergeCell ref="H10:J10"/>
    <mergeCell ref="D11:E11"/>
    <mergeCell ref="F11:G11"/>
    <mergeCell ref="F15:G15"/>
    <mergeCell ref="D12:E12"/>
    <mergeCell ref="F12:G12"/>
    <mergeCell ref="D14:E14"/>
    <mergeCell ref="F14:G14"/>
    <mergeCell ref="D13:E13"/>
    <mergeCell ref="F13:G13"/>
    <mergeCell ref="D17:E17"/>
    <mergeCell ref="F17:G17"/>
    <mergeCell ref="D19:E19"/>
    <mergeCell ref="D18:E18"/>
    <mergeCell ref="F18:G18"/>
    <mergeCell ref="H18:J18"/>
    <mergeCell ref="H25:J25"/>
    <mergeCell ref="D23:E23"/>
    <mergeCell ref="F23:G23"/>
    <mergeCell ref="H23:J23"/>
    <mergeCell ref="H24:J24"/>
    <mergeCell ref="D25:E25"/>
    <mergeCell ref="F25:G25"/>
    <mergeCell ref="H22:J22"/>
    <mergeCell ref="D24:E24"/>
    <mergeCell ref="F24:G24"/>
    <mergeCell ref="D28:E28"/>
    <mergeCell ref="D34:E34"/>
    <mergeCell ref="F34:G34"/>
    <mergeCell ref="H34:J34"/>
    <mergeCell ref="F28:G28"/>
    <mergeCell ref="H28:J28"/>
    <mergeCell ref="D30:E30"/>
    <mergeCell ref="D32:E32"/>
    <mergeCell ref="F32:G32"/>
    <mergeCell ref="H32:J32"/>
    <mergeCell ref="F30:G30"/>
    <mergeCell ref="H30:J30"/>
    <mergeCell ref="F26:G26"/>
    <mergeCell ref="H26:J26"/>
    <mergeCell ref="D27:E27"/>
    <mergeCell ref="E7:H7"/>
    <mergeCell ref="F35:G35"/>
    <mergeCell ref="D35:E35"/>
    <mergeCell ref="H35:J35"/>
    <mergeCell ref="D29:E29"/>
    <mergeCell ref="F29:G29"/>
    <mergeCell ref="H29:J29"/>
    <mergeCell ref="D31:E31"/>
    <mergeCell ref="F31:G31"/>
    <mergeCell ref="H31:J31"/>
    <mergeCell ref="D33:E33"/>
    <mergeCell ref="F33:G33"/>
    <mergeCell ref="H33:J33"/>
    <mergeCell ref="D21:E21"/>
    <mergeCell ref="F21:G21"/>
    <mergeCell ref="H21:J21"/>
    <mergeCell ref="D22:E22"/>
    <mergeCell ref="D26:E26"/>
    <mergeCell ref="F27:G27"/>
    <mergeCell ref="H27:J27"/>
    <mergeCell ref="F22:G22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rowBreaks count="1" manualBreakCount="1">
    <brk id="81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1"/>
  <sheetViews>
    <sheetView showGridLines="0" topLeftCell="A9" zoomScaleNormal="100" workbookViewId="0">
      <selection activeCell="G46" sqref="G46"/>
    </sheetView>
  </sheetViews>
  <sheetFormatPr defaultColWidth="9.140625" defaultRowHeight="12.75"/>
  <cols>
    <col min="1" max="2" width="4.28515625" style="44" customWidth="1"/>
    <col min="3" max="6" width="12.42578125" style="44" customWidth="1"/>
    <col min="7" max="7" width="14.28515625" style="44" customWidth="1"/>
    <col min="8" max="8" width="11.42578125" style="44" customWidth="1"/>
    <col min="9" max="9" width="13.140625" style="44" bestFit="1" customWidth="1"/>
    <col min="10" max="10" width="15.85546875" style="44" customWidth="1"/>
    <col min="11" max="11" width="11.42578125" style="44" customWidth="1"/>
    <col min="12" max="12" width="11.7109375" style="44" bestFit="1" customWidth="1"/>
    <col min="13" max="256" width="11.42578125" style="44" customWidth="1"/>
    <col min="257" max="16384" width="9.140625" style="44"/>
  </cols>
  <sheetData>
    <row r="1" spans="1:11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>
      <c r="A7" s="83"/>
      <c r="B7" s="83"/>
      <c r="C7" s="43"/>
      <c r="D7" s="43"/>
      <c r="E7" s="302" t="s">
        <v>2</v>
      </c>
      <c r="F7" s="302"/>
      <c r="G7" s="302"/>
      <c r="H7" s="302"/>
      <c r="I7" s="84" t="s">
        <v>34</v>
      </c>
      <c r="J7" s="85">
        <f>CARÁT!$F$16</f>
        <v>2024</v>
      </c>
      <c r="K7" s="43"/>
    </row>
    <row r="8" spans="1:11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43"/>
    </row>
    <row r="11" spans="1:11">
      <c r="A11" s="41"/>
      <c r="B11" s="41">
        <v>16</v>
      </c>
      <c r="C11" s="46">
        <v>45366</v>
      </c>
      <c r="D11" s="362" t="s">
        <v>13</v>
      </c>
      <c r="E11" s="362"/>
      <c r="F11" s="305">
        <v>42150</v>
      </c>
      <c r="G11" s="305"/>
      <c r="H11" s="47" t="s">
        <v>10</v>
      </c>
      <c r="I11" s="47"/>
      <c r="J11" s="47"/>
      <c r="K11" s="43"/>
    </row>
    <row r="12" spans="1:11">
      <c r="A12" s="41"/>
      <c r="B12" s="41">
        <v>17</v>
      </c>
      <c r="C12" s="46">
        <v>45370</v>
      </c>
      <c r="D12" s="363" t="s">
        <v>13</v>
      </c>
      <c r="E12" s="363"/>
      <c r="F12" s="305">
        <v>35910</v>
      </c>
      <c r="G12" s="305"/>
      <c r="H12" s="47" t="s">
        <v>10</v>
      </c>
      <c r="I12" s="47"/>
      <c r="J12" s="47"/>
      <c r="K12" s="43"/>
    </row>
    <row r="13" spans="1:11">
      <c r="A13" s="41"/>
      <c r="B13" s="41"/>
      <c r="C13" s="46"/>
      <c r="D13" s="363"/>
      <c r="E13" s="363"/>
      <c r="F13" s="305"/>
      <c r="G13" s="305"/>
      <c r="H13" s="47"/>
      <c r="I13" s="47"/>
      <c r="J13" s="47"/>
      <c r="K13" s="43"/>
    </row>
    <row r="14" spans="1:11">
      <c r="A14" s="41"/>
      <c r="B14" s="41"/>
      <c r="C14" s="46"/>
      <c r="D14" s="363"/>
      <c r="E14" s="363"/>
      <c r="F14" s="305"/>
      <c r="G14" s="305"/>
      <c r="H14" s="47"/>
      <c r="I14" s="47"/>
      <c r="J14" s="47"/>
      <c r="K14" s="43"/>
    </row>
    <row r="15" spans="1:11">
      <c r="A15" s="41"/>
      <c r="B15" s="41"/>
      <c r="C15" s="46"/>
      <c r="D15" s="363"/>
      <c r="E15" s="363"/>
      <c r="F15" s="305"/>
      <c r="G15" s="305"/>
      <c r="H15" s="47"/>
      <c r="I15" s="47"/>
      <c r="J15" s="47"/>
      <c r="K15" s="43"/>
    </row>
    <row r="16" spans="1:11">
      <c r="A16" s="41"/>
      <c r="B16" s="41"/>
      <c r="C16" s="46"/>
      <c r="D16" s="363"/>
      <c r="E16" s="363"/>
      <c r="F16" s="305"/>
      <c r="G16" s="305"/>
      <c r="H16" s="47"/>
      <c r="I16" s="47"/>
      <c r="J16" s="47"/>
      <c r="K16" s="43"/>
    </row>
    <row r="17" spans="1:11">
      <c r="A17" s="41"/>
      <c r="B17" s="41"/>
      <c r="C17" s="46"/>
      <c r="D17" s="363"/>
      <c r="E17" s="363"/>
      <c r="F17" s="305"/>
      <c r="G17" s="305"/>
      <c r="H17" s="47"/>
      <c r="I17" s="47"/>
      <c r="J17" s="47"/>
      <c r="K17" s="43"/>
    </row>
    <row r="18" spans="1:11">
      <c r="A18" s="41"/>
      <c r="B18" s="41"/>
      <c r="C18" s="46"/>
      <c r="D18" s="363"/>
      <c r="E18" s="363"/>
      <c r="F18" s="305"/>
      <c r="G18" s="305"/>
      <c r="H18" s="47"/>
      <c r="I18" s="47"/>
      <c r="J18" s="47"/>
      <c r="K18" s="43"/>
    </row>
    <row r="19" spans="1:11">
      <c r="A19" s="41"/>
      <c r="B19" s="41"/>
      <c r="C19" s="46"/>
      <c r="D19" s="363"/>
      <c r="E19" s="363"/>
      <c r="F19" s="305"/>
      <c r="G19" s="305"/>
      <c r="H19" s="47"/>
      <c r="I19" s="47"/>
      <c r="J19" s="47"/>
      <c r="K19" s="43"/>
    </row>
    <row r="20" spans="1:11">
      <c r="A20" s="41"/>
      <c r="B20" s="41"/>
      <c r="C20" s="46"/>
      <c r="D20" s="363"/>
      <c r="E20" s="363"/>
      <c r="F20" s="305"/>
      <c r="G20" s="305"/>
      <c r="H20" s="47"/>
      <c r="I20" s="47"/>
      <c r="J20" s="47"/>
      <c r="K20" s="43"/>
    </row>
    <row r="21" spans="1:11">
      <c r="A21" s="41"/>
      <c r="B21" s="41"/>
      <c r="C21" s="46"/>
      <c r="D21" s="363"/>
      <c r="E21" s="363"/>
      <c r="F21" s="305"/>
      <c r="G21" s="305"/>
      <c r="H21" s="303"/>
      <c r="I21" s="303"/>
      <c r="J21" s="303"/>
      <c r="K21" s="43"/>
    </row>
    <row r="22" spans="1:11">
      <c r="A22" s="41"/>
      <c r="B22" s="41"/>
      <c r="C22" s="46"/>
      <c r="D22" s="363"/>
      <c r="E22" s="363"/>
      <c r="F22" s="305"/>
      <c r="G22" s="305"/>
      <c r="H22" s="303"/>
      <c r="I22" s="303"/>
      <c r="J22" s="303"/>
      <c r="K22" s="43"/>
    </row>
    <row r="23" spans="1:11">
      <c r="A23" s="41"/>
      <c r="B23" s="41"/>
      <c r="C23" s="46"/>
      <c r="D23" s="363"/>
      <c r="E23" s="363"/>
      <c r="F23" s="305"/>
      <c r="G23" s="305"/>
      <c r="H23" s="303"/>
      <c r="I23" s="303"/>
      <c r="J23" s="303"/>
      <c r="K23" s="43"/>
    </row>
    <row r="24" spans="1:11">
      <c r="A24" s="41"/>
      <c r="B24" s="41"/>
      <c r="C24" s="46"/>
      <c r="D24" s="363"/>
      <c r="E24" s="363"/>
      <c r="F24" s="305"/>
      <c r="G24" s="305"/>
      <c r="H24" s="303"/>
      <c r="I24" s="303"/>
      <c r="J24" s="303"/>
      <c r="K24" s="43"/>
    </row>
    <row r="25" spans="1:11">
      <c r="A25" s="41"/>
      <c r="B25" s="41"/>
      <c r="C25" s="46"/>
      <c r="D25" s="363"/>
      <c r="E25" s="363"/>
      <c r="F25" s="305"/>
      <c r="G25" s="305"/>
      <c r="H25" s="303"/>
      <c r="I25" s="303"/>
      <c r="J25" s="303"/>
      <c r="K25" s="43"/>
    </row>
    <row r="26" spans="1:11">
      <c r="A26" s="41"/>
      <c r="B26" s="41"/>
      <c r="C26" s="46"/>
      <c r="D26" s="363"/>
      <c r="E26" s="363"/>
      <c r="F26" s="305"/>
      <c r="G26" s="305"/>
      <c r="H26" s="303"/>
      <c r="I26" s="303"/>
      <c r="J26" s="303"/>
      <c r="K26" s="43"/>
    </row>
    <row r="27" spans="1:11">
      <c r="A27" s="41"/>
      <c r="B27" s="41"/>
      <c r="C27" s="46"/>
      <c r="D27" s="363"/>
      <c r="E27" s="363"/>
      <c r="F27" s="304"/>
      <c r="G27" s="304"/>
      <c r="H27" s="303"/>
      <c r="I27" s="303"/>
      <c r="J27" s="303"/>
      <c r="K27" s="43"/>
    </row>
    <row r="28" spans="1:11">
      <c r="A28" s="41"/>
      <c r="B28" s="41"/>
      <c r="C28" s="46"/>
      <c r="D28" s="366"/>
      <c r="E28" s="363"/>
      <c r="F28" s="304"/>
      <c r="G28" s="304"/>
      <c r="H28" s="303"/>
      <c r="I28" s="303"/>
      <c r="J28" s="303"/>
      <c r="K28" s="43"/>
    </row>
    <row r="29" spans="1:11">
      <c r="A29" s="41"/>
      <c r="B29" s="41"/>
      <c r="C29" s="46"/>
      <c r="D29" s="363"/>
      <c r="E29" s="363"/>
      <c r="F29" s="304"/>
      <c r="G29" s="304"/>
      <c r="H29" s="303"/>
      <c r="I29" s="303"/>
      <c r="J29" s="303"/>
      <c r="K29" s="43"/>
    </row>
    <row r="30" spans="1:11">
      <c r="A30" s="41"/>
      <c r="B30" s="41"/>
      <c r="C30" s="46"/>
      <c r="D30" s="363"/>
      <c r="E30" s="363"/>
      <c r="F30" s="304"/>
      <c r="G30" s="304"/>
      <c r="H30" s="303"/>
      <c r="I30" s="303"/>
      <c r="J30" s="303"/>
      <c r="K30" s="43"/>
    </row>
    <row r="31" spans="1:11">
      <c r="A31" s="41"/>
      <c r="B31" s="41"/>
      <c r="C31" s="46"/>
      <c r="D31" s="363"/>
      <c r="E31" s="363"/>
      <c r="F31" s="304"/>
      <c r="G31" s="304"/>
      <c r="H31" s="303"/>
      <c r="I31" s="303"/>
      <c r="J31" s="303"/>
      <c r="K31" s="43"/>
    </row>
    <row r="32" spans="1:11">
      <c r="A32" s="41"/>
      <c r="B32" s="41"/>
      <c r="C32" s="46"/>
      <c r="D32" s="363"/>
      <c r="E32" s="363"/>
      <c r="F32" s="304"/>
      <c r="G32" s="304"/>
      <c r="H32" s="303"/>
      <c r="I32" s="303"/>
      <c r="J32" s="303"/>
      <c r="K32" s="43"/>
    </row>
    <row r="33" spans="1:12">
      <c r="A33" s="41"/>
      <c r="B33" s="41"/>
      <c r="C33" s="46"/>
      <c r="D33" s="363"/>
      <c r="E33" s="363"/>
      <c r="F33" s="304"/>
      <c r="G33" s="304"/>
      <c r="H33" s="303"/>
      <c r="I33" s="303"/>
      <c r="J33" s="303"/>
      <c r="K33" s="43"/>
    </row>
    <row r="34" spans="1:12">
      <c r="A34" s="41"/>
      <c r="B34" s="41"/>
      <c r="C34" s="46"/>
      <c r="D34" s="363"/>
      <c r="E34" s="363"/>
      <c r="F34" s="304"/>
      <c r="G34" s="304"/>
      <c r="H34" s="303"/>
      <c r="I34" s="303"/>
      <c r="J34" s="303"/>
      <c r="K34" s="43"/>
      <c r="L34" s="97"/>
    </row>
    <row r="35" spans="1:12">
      <c r="A35" s="41"/>
      <c r="B35" s="41"/>
      <c r="C35" s="46"/>
      <c r="D35" s="363"/>
      <c r="E35" s="363"/>
      <c r="F35" s="304"/>
      <c r="G35" s="304"/>
      <c r="H35" s="303"/>
      <c r="I35" s="303"/>
      <c r="J35" s="303"/>
      <c r="K35" s="43"/>
    </row>
    <row r="36" spans="1:12">
      <c r="A36" s="41"/>
      <c r="B36" s="41"/>
      <c r="C36" s="46"/>
      <c r="D36" s="363"/>
      <c r="E36" s="363"/>
      <c r="F36" s="304"/>
      <c r="G36" s="304"/>
      <c r="H36" s="303"/>
      <c r="I36" s="303"/>
      <c r="J36" s="303"/>
      <c r="K36" s="43"/>
    </row>
    <row r="37" spans="1:12">
      <c r="A37" s="41"/>
      <c r="B37" s="41"/>
      <c r="C37" s="46"/>
      <c r="D37" s="363"/>
      <c r="E37" s="363"/>
      <c r="F37" s="304"/>
      <c r="G37" s="304"/>
      <c r="H37" s="303"/>
      <c r="I37" s="303"/>
      <c r="J37" s="303"/>
      <c r="K37" s="43"/>
    </row>
    <row r="38" spans="1:12">
      <c r="A38" s="41"/>
      <c r="B38" s="41"/>
      <c r="C38" s="46"/>
      <c r="D38" s="363"/>
      <c r="E38" s="363"/>
      <c r="F38" s="304"/>
      <c r="G38" s="304"/>
      <c r="H38" s="303"/>
      <c r="I38" s="303"/>
      <c r="J38" s="303"/>
      <c r="K38" s="43"/>
    </row>
    <row r="39" spans="1:12">
      <c r="A39" s="41"/>
      <c r="B39" s="41"/>
      <c r="C39" s="46"/>
      <c r="D39" s="363"/>
      <c r="E39" s="363"/>
      <c r="F39" s="304"/>
      <c r="G39" s="304"/>
      <c r="H39" s="303"/>
      <c r="I39" s="303"/>
      <c r="J39" s="303"/>
      <c r="K39" s="43"/>
    </row>
    <row r="40" spans="1:12">
      <c r="A40" s="41"/>
      <c r="B40" s="41"/>
      <c r="C40" s="46"/>
      <c r="D40" s="363"/>
      <c r="E40" s="363"/>
      <c r="F40" s="304"/>
      <c r="G40" s="304"/>
      <c r="H40" s="303"/>
      <c r="I40" s="303"/>
      <c r="J40" s="303"/>
      <c r="K40" s="43"/>
    </row>
    <row r="41" spans="1:12">
      <c r="A41" s="41"/>
      <c r="B41" s="41"/>
      <c r="C41" s="51"/>
      <c r="D41" s="52"/>
      <c r="E41" s="52"/>
      <c r="F41" s="329">
        <f>SUM(F11:G40)</f>
        <v>78060</v>
      </c>
      <c r="G41" s="330"/>
      <c r="H41" s="53"/>
      <c r="I41" s="53"/>
      <c r="J41" s="53"/>
      <c r="K41" s="43"/>
    </row>
    <row r="42" spans="1:12">
      <c r="A42" s="41"/>
      <c r="B42" s="41"/>
      <c r="C42" s="55"/>
      <c r="D42" s="55"/>
      <c r="E42" s="56"/>
      <c r="F42" s="55"/>
      <c r="G42" s="55"/>
      <c r="H42" s="55"/>
      <c r="I42" s="54"/>
      <c r="J42" s="55"/>
      <c r="K42" s="43"/>
    </row>
    <row r="43" spans="1:12">
      <c r="A43" s="41"/>
      <c r="B43" s="41"/>
      <c r="C43" s="55"/>
      <c r="D43" s="319" t="s">
        <v>14</v>
      </c>
      <c r="E43" s="319"/>
      <c r="F43" s="55"/>
      <c r="G43" s="58">
        <f>F41/1000</f>
        <v>78.06</v>
      </c>
      <c r="H43" s="55"/>
      <c r="I43" s="55"/>
      <c r="J43" s="55"/>
      <c r="K43" s="43"/>
    </row>
    <row r="44" spans="1:12">
      <c r="A44" s="41"/>
      <c r="B44" s="41"/>
      <c r="C44" s="55"/>
      <c r="D44" s="55"/>
      <c r="E44" s="55"/>
      <c r="F44" s="55"/>
      <c r="G44" s="55"/>
      <c r="H44" s="55"/>
      <c r="I44" s="55"/>
      <c r="J44" s="55"/>
      <c r="K44" s="43"/>
    </row>
    <row r="45" spans="1:12">
      <c r="A45" s="41"/>
      <c r="B45" s="41"/>
      <c r="C45" s="317" t="s">
        <v>15</v>
      </c>
      <c r="D45" s="317"/>
      <c r="E45" s="317" t="s">
        <v>16</v>
      </c>
      <c r="F45" s="317"/>
      <c r="G45" s="59" t="s">
        <v>17</v>
      </c>
      <c r="H45" s="59" t="s">
        <v>18</v>
      </c>
      <c r="I45" s="55"/>
      <c r="J45" s="55"/>
      <c r="K45" s="43"/>
    </row>
    <row r="46" spans="1:12">
      <c r="A46" s="41"/>
      <c r="B46" s="41"/>
      <c r="C46" s="303" t="s">
        <v>19</v>
      </c>
      <c r="D46" s="303"/>
      <c r="E46" s="364">
        <f>F11+F12</f>
        <v>78060</v>
      </c>
      <c r="F46" s="364"/>
      <c r="G46" s="61">
        <f>+E46/F41</f>
        <v>1</v>
      </c>
      <c r="H46" s="48">
        <v>2</v>
      </c>
      <c r="I46" s="55"/>
      <c r="J46" s="55"/>
      <c r="K46" s="43"/>
    </row>
    <row r="47" spans="1:12">
      <c r="A47" s="41"/>
      <c r="B47" s="41"/>
      <c r="C47" s="303"/>
      <c r="D47" s="303"/>
      <c r="E47" s="364"/>
      <c r="F47" s="364"/>
      <c r="G47" s="61">
        <f>+E47/F41</f>
        <v>0</v>
      </c>
      <c r="H47" s="62"/>
      <c r="I47" s="55"/>
      <c r="J47" s="55"/>
      <c r="K47" s="43"/>
    </row>
    <row r="48" spans="1:12">
      <c r="A48" s="41"/>
      <c r="B48" s="41"/>
      <c r="C48" s="303"/>
      <c r="D48" s="303"/>
      <c r="E48" s="304"/>
      <c r="F48" s="304"/>
      <c r="G48" s="61">
        <f>+E48/F41</f>
        <v>0</v>
      </c>
      <c r="H48" s="62"/>
      <c r="I48" s="55"/>
      <c r="J48" s="55"/>
      <c r="K48" s="43"/>
    </row>
    <row r="49" spans="1:11">
      <c r="A49" s="41"/>
      <c r="B49" s="41"/>
      <c r="C49" s="303"/>
      <c r="D49" s="303"/>
      <c r="E49" s="364"/>
      <c r="F49" s="364"/>
      <c r="G49" s="61">
        <f>+E49/F41</f>
        <v>0</v>
      </c>
      <c r="H49" s="62"/>
      <c r="I49" s="55"/>
      <c r="J49" s="55"/>
      <c r="K49" s="43"/>
    </row>
    <row r="50" spans="1:11">
      <c r="A50" s="41"/>
      <c r="B50" s="41"/>
      <c r="C50" s="303"/>
      <c r="D50" s="303"/>
      <c r="E50" s="318"/>
      <c r="F50" s="318"/>
      <c r="G50" s="61">
        <f>+E50/F41</f>
        <v>0</v>
      </c>
      <c r="H50" s="62"/>
      <c r="I50" s="55"/>
      <c r="J50" s="55"/>
      <c r="K50" s="43"/>
    </row>
    <row r="51" spans="1:11">
      <c r="A51" s="41"/>
      <c r="B51" s="41"/>
      <c r="C51" s="64"/>
      <c r="D51" s="57" t="s">
        <v>21</v>
      </c>
      <c r="E51" s="365">
        <f>SUM(E46:F50)</f>
        <v>78060</v>
      </c>
      <c r="F51" s="365"/>
      <c r="G51" s="65">
        <f>SUM(G46:G50)</f>
        <v>1</v>
      </c>
      <c r="H51" s="66">
        <f>SUM(H46:H50)</f>
        <v>2</v>
      </c>
      <c r="I51" s="55"/>
      <c r="J51" s="54"/>
      <c r="K51" s="43"/>
    </row>
    <row r="52" spans="1:11">
      <c r="A52" s="41"/>
      <c r="B52" s="41"/>
      <c r="C52" s="68"/>
      <c r="D52" s="55"/>
      <c r="E52" s="54"/>
      <c r="F52" s="69"/>
      <c r="G52" s="70"/>
      <c r="H52" s="55"/>
      <c r="I52" s="55"/>
      <c r="J52" s="55"/>
      <c r="K52" s="43"/>
    </row>
    <row r="53" spans="1:11">
      <c r="A53" s="41"/>
      <c r="B53" s="41"/>
      <c r="C53" s="313" t="s">
        <v>8</v>
      </c>
      <c r="D53" s="314"/>
      <c r="E53" s="315"/>
      <c r="F53" s="316" t="s">
        <v>7</v>
      </c>
      <c r="G53" s="317"/>
      <c r="H53" s="59" t="s">
        <v>17</v>
      </c>
      <c r="I53" s="55"/>
      <c r="J53" s="55"/>
      <c r="K53" s="43"/>
    </row>
    <row r="54" spans="1:11">
      <c r="A54" s="41"/>
      <c r="B54" s="41"/>
      <c r="C54" s="303" t="s">
        <v>22</v>
      </c>
      <c r="D54" s="303"/>
      <c r="E54" s="303"/>
      <c r="F54" s="312"/>
      <c r="G54" s="312"/>
      <c r="H54" s="61">
        <f>+F54/F56</f>
        <v>0</v>
      </c>
      <c r="I54" s="55"/>
      <c r="J54" s="55"/>
      <c r="K54" s="43"/>
    </row>
    <row r="55" spans="1:11">
      <c r="A55" s="41"/>
      <c r="B55" s="41"/>
      <c r="C55" s="303" t="s">
        <v>23</v>
      </c>
      <c r="D55" s="303"/>
      <c r="E55" s="303"/>
      <c r="F55" s="318">
        <f>F41</f>
        <v>78060</v>
      </c>
      <c r="G55" s="318"/>
      <c r="H55" s="61">
        <f>+F55/F56</f>
        <v>1</v>
      </c>
      <c r="I55" s="55"/>
      <c r="J55" s="55"/>
      <c r="K55" s="43"/>
    </row>
    <row r="56" spans="1:11">
      <c r="A56" s="41"/>
      <c r="B56" s="41"/>
      <c r="C56" s="55"/>
      <c r="D56" s="55" t="s">
        <v>21</v>
      </c>
      <c r="E56" s="55"/>
      <c r="F56" s="308">
        <f>SUM(F54:G55)</f>
        <v>78060</v>
      </c>
      <c r="G56" s="308"/>
      <c r="H56" s="65">
        <f>SUM(H54:H55)</f>
        <v>1</v>
      </c>
      <c r="I56" s="55"/>
      <c r="J56" s="55"/>
      <c r="K56" s="43"/>
    </row>
    <row r="57" spans="1:11">
      <c r="A57" s="41"/>
      <c r="B57" s="41"/>
      <c r="C57" s="55"/>
      <c r="D57" s="55"/>
      <c r="E57" s="55"/>
      <c r="F57" s="88"/>
      <c r="G57" s="88"/>
      <c r="H57" s="89"/>
      <c r="I57" s="55"/>
      <c r="J57" s="55"/>
      <c r="K57" s="43"/>
    </row>
    <row r="58" spans="1:11">
      <c r="A58" s="41"/>
      <c r="B58" s="41"/>
      <c r="C58" s="55"/>
      <c r="D58" s="55"/>
      <c r="E58" s="55"/>
      <c r="F58" s="88"/>
      <c r="G58" s="88"/>
      <c r="H58" s="89"/>
      <c r="I58" s="55"/>
      <c r="J58" s="55"/>
      <c r="K58" s="43"/>
    </row>
    <row r="59" spans="1:11">
      <c r="A59" s="41"/>
      <c r="B59" s="41"/>
      <c r="C59" s="55"/>
      <c r="D59" s="43"/>
      <c r="E59" s="309" t="s">
        <v>24</v>
      </c>
      <c r="F59" s="309"/>
      <c r="G59" s="309"/>
      <c r="H59" s="309"/>
      <c r="I59" s="55"/>
      <c r="J59" s="55"/>
      <c r="K59" s="43"/>
    </row>
    <row r="60" spans="1:11">
      <c r="A60" s="41"/>
      <c r="B60" s="41"/>
      <c r="C60" s="55"/>
      <c r="D60" s="72"/>
      <c r="E60" s="55"/>
      <c r="F60" s="55"/>
      <c r="G60" s="55"/>
      <c r="H60" s="55"/>
      <c r="I60" s="55"/>
      <c r="J60" s="55"/>
      <c r="K60" s="43"/>
    </row>
    <row r="61" spans="1:11">
      <c r="A61" s="55"/>
      <c r="B61" s="55"/>
      <c r="C61" s="55"/>
      <c r="D61" s="73" t="s">
        <v>25</v>
      </c>
      <c r="E61" s="306" t="s">
        <v>26</v>
      </c>
      <c r="F61" s="307"/>
      <c r="G61" s="306" t="s">
        <v>27</v>
      </c>
      <c r="H61" s="307"/>
      <c r="I61" s="55"/>
      <c r="J61" s="55"/>
      <c r="K61" s="43"/>
    </row>
    <row r="62" spans="1:11">
      <c r="A62" s="55"/>
      <c r="B62" s="55"/>
      <c r="C62" s="55"/>
      <c r="D62" s="74" t="s">
        <v>28</v>
      </c>
      <c r="E62" s="96" t="s">
        <v>29</v>
      </c>
      <c r="F62" s="96" t="s">
        <v>30</v>
      </c>
      <c r="G62" s="78" t="s">
        <v>29</v>
      </c>
      <c r="H62" s="78" t="s">
        <v>30</v>
      </c>
      <c r="I62" s="55"/>
      <c r="J62" s="55"/>
      <c r="K62" s="43"/>
    </row>
    <row r="63" spans="1:11">
      <c r="A63" s="55"/>
      <c r="B63" s="55"/>
      <c r="C63" s="55"/>
      <c r="D63" s="90" t="s">
        <v>31</v>
      </c>
      <c r="E63" s="91">
        <f>Comparativos!$BA$13</f>
        <v>123.39</v>
      </c>
      <c r="F63" s="92">
        <f>Comparativos!$BB$13</f>
        <v>4</v>
      </c>
      <c r="G63" s="93">
        <f>ENE!$G$46</f>
        <v>417.87</v>
      </c>
      <c r="H63" s="98">
        <f>ENE!$H$55</f>
        <v>8</v>
      </c>
      <c r="I63" s="55"/>
      <c r="J63" s="55"/>
      <c r="K63" s="43"/>
    </row>
    <row r="64" spans="1:11">
      <c r="A64" s="55"/>
      <c r="B64" s="55"/>
      <c r="C64" s="55"/>
      <c r="D64" s="90" t="s">
        <v>33</v>
      </c>
      <c r="E64" s="99">
        <f>Comparativos!$BA$14</f>
        <v>176.79</v>
      </c>
      <c r="F64" s="98">
        <f>Comparativos!$BB$14</f>
        <v>6</v>
      </c>
      <c r="G64" s="100">
        <f>FEB!$G$48</f>
        <v>127.8</v>
      </c>
      <c r="H64" s="101">
        <f>FEB!$H$57</f>
        <v>2</v>
      </c>
      <c r="I64" s="55"/>
      <c r="J64" s="55"/>
      <c r="K64" s="43"/>
    </row>
    <row r="65" spans="1:11">
      <c r="A65" s="55"/>
      <c r="B65" s="55"/>
      <c r="C65" s="55"/>
      <c r="D65" s="94" t="s">
        <v>35</v>
      </c>
      <c r="E65" s="76">
        <f>Comparativos!$BA$15</f>
        <v>370.56</v>
      </c>
      <c r="F65" s="102">
        <f>Comparativos!$BB$15</f>
        <v>11</v>
      </c>
      <c r="G65" s="95">
        <f>$G$43</f>
        <v>78.06</v>
      </c>
      <c r="H65" s="103">
        <f>$H$51</f>
        <v>2</v>
      </c>
      <c r="I65" s="55"/>
      <c r="J65" s="55"/>
      <c r="K65" s="43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43"/>
    </row>
    <row r="67" spans="1:11">
      <c r="A67" s="55"/>
      <c r="B67" s="55"/>
      <c r="C67" s="55"/>
      <c r="D67" s="55"/>
      <c r="E67" s="79">
        <f>SUM(E63:E66)</f>
        <v>670.74</v>
      </c>
      <c r="F67" s="80">
        <f>SUM(F63:F66)</f>
        <v>21</v>
      </c>
      <c r="G67" s="79">
        <f>SUM(G63:G65)</f>
        <v>623.73</v>
      </c>
      <c r="H67" s="80">
        <f>SUM(H63:H65)</f>
        <v>12</v>
      </c>
      <c r="I67" s="55"/>
      <c r="J67" s="55"/>
      <c r="K67" s="43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>
      <c r="A70" s="43"/>
      <c r="B70" s="43"/>
      <c r="C70" s="43"/>
      <c r="D70" s="43"/>
      <c r="E70" s="43"/>
      <c r="F70" s="43"/>
      <c r="G70" s="43"/>
      <c r="H70" s="43"/>
      <c r="I70" s="43"/>
      <c r="J70" s="43"/>
    </row>
    <row r="71" spans="1:11">
      <c r="A71" s="43"/>
      <c r="B71" s="43"/>
      <c r="C71" s="43"/>
      <c r="D71" s="43"/>
      <c r="E71" s="43"/>
      <c r="F71" s="43"/>
      <c r="G71" s="43"/>
      <c r="H71" s="43"/>
      <c r="I71" s="43"/>
      <c r="J71" s="43"/>
    </row>
    <row r="72" spans="1:11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1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1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1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1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1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>
      <c r="A81" s="43"/>
      <c r="B81" s="43"/>
      <c r="C81" s="43"/>
      <c r="D81" s="43"/>
      <c r="E81" s="43"/>
      <c r="F81" s="43"/>
      <c r="G81" s="43"/>
      <c r="H81" s="43"/>
      <c r="I81" s="43"/>
      <c r="J81" s="43"/>
    </row>
  </sheetData>
  <mergeCells count="109">
    <mergeCell ref="F37:G37"/>
    <mergeCell ref="E46:F46"/>
    <mergeCell ref="C47:D47"/>
    <mergeCell ref="D39:E39"/>
    <mergeCell ref="F41:G41"/>
    <mergeCell ref="H32:J32"/>
    <mergeCell ref="D33:E33"/>
    <mergeCell ref="F33:G33"/>
    <mergeCell ref="D35:E35"/>
    <mergeCell ref="F35:G35"/>
    <mergeCell ref="H35:J35"/>
    <mergeCell ref="D34:E34"/>
    <mergeCell ref="H33:J33"/>
    <mergeCell ref="F32:G32"/>
    <mergeCell ref="H37:J37"/>
    <mergeCell ref="D40:E40"/>
    <mergeCell ref="F40:G40"/>
    <mergeCell ref="F34:G34"/>
    <mergeCell ref="H34:J34"/>
    <mergeCell ref="D36:E36"/>
    <mergeCell ref="F36:G36"/>
    <mergeCell ref="H36:J36"/>
    <mergeCell ref="H40:J40"/>
    <mergeCell ref="H39:J39"/>
    <mergeCell ref="D37:E37"/>
    <mergeCell ref="F25:G25"/>
    <mergeCell ref="G61:H61"/>
    <mergeCell ref="E51:F51"/>
    <mergeCell ref="C53:E53"/>
    <mergeCell ref="F53:G53"/>
    <mergeCell ref="C54:E54"/>
    <mergeCell ref="C55:E55"/>
    <mergeCell ref="F56:G56"/>
    <mergeCell ref="E59:H59"/>
    <mergeCell ref="H38:J38"/>
    <mergeCell ref="E61:F61"/>
    <mergeCell ref="F55:G55"/>
    <mergeCell ref="F54:G54"/>
    <mergeCell ref="C50:D50"/>
    <mergeCell ref="E50:F50"/>
    <mergeCell ref="C48:D48"/>
    <mergeCell ref="E48:F48"/>
    <mergeCell ref="C49:D49"/>
    <mergeCell ref="E49:F49"/>
    <mergeCell ref="E47:F47"/>
    <mergeCell ref="D43:E43"/>
    <mergeCell ref="E45:F45"/>
    <mergeCell ref="C45:D45"/>
    <mergeCell ref="C46:D46"/>
    <mergeCell ref="D38:E38"/>
    <mergeCell ref="F38:G38"/>
    <mergeCell ref="F39:G39"/>
    <mergeCell ref="F31:G31"/>
    <mergeCell ref="H31:J31"/>
    <mergeCell ref="F20:G20"/>
    <mergeCell ref="D21:E21"/>
    <mergeCell ref="F21:G21"/>
    <mergeCell ref="D30:E30"/>
    <mergeCell ref="F30:G30"/>
    <mergeCell ref="H30:J30"/>
    <mergeCell ref="F28:G28"/>
    <mergeCell ref="H28:J28"/>
    <mergeCell ref="F29:G29"/>
    <mergeCell ref="H29:J29"/>
    <mergeCell ref="D27:E27"/>
    <mergeCell ref="F27:G27"/>
    <mergeCell ref="H27:J27"/>
    <mergeCell ref="D28:E28"/>
    <mergeCell ref="D29:E29"/>
    <mergeCell ref="F22:G22"/>
    <mergeCell ref="D31:E31"/>
    <mergeCell ref="D20:E20"/>
    <mergeCell ref="D32:E32"/>
    <mergeCell ref="E7:H7"/>
    <mergeCell ref="D26:E26"/>
    <mergeCell ref="F26:G26"/>
    <mergeCell ref="H26:J26"/>
    <mergeCell ref="D24:E24"/>
    <mergeCell ref="F24:G24"/>
    <mergeCell ref="H25:J25"/>
    <mergeCell ref="D23:E23"/>
    <mergeCell ref="H24:J24"/>
    <mergeCell ref="D17:E17"/>
    <mergeCell ref="F23:G23"/>
    <mergeCell ref="H23:J23"/>
    <mergeCell ref="F17:G17"/>
    <mergeCell ref="H10:J10"/>
    <mergeCell ref="D11:E11"/>
    <mergeCell ref="F11:G11"/>
    <mergeCell ref="D10:E10"/>
    <mergeCell ref="F10:G10"/>
    <mergeCell ref="D13:E13"/>
    <mergeCell ref="F13:G13"/>
    <mergeCell ref="F14:G14"/>
    <mergeCell ref="D18:E18"/>
    <mergeCell ref="D14:E14"/>
    <mergeCell ref="D25:E25"/>
    <mergeCell ref="D12:E12"/>
    <mergeCell ref="F12:G12"/>
    <mergeCell ref="F15:G15"/>
    <mergeCell ref="D15:E15"/>
    <mergeCell ref="H21:J21"/>
    <mergeCell ref="D22:E22"/>
    <mergeCell ref="H22:J22"/>
    <mergeCell ref="D16:E16"/>
    <mergeCell ref="F16:G16"/>
    <mergeCell ref="F18:G18"/>
    <mergeCell ref="D19:E19"/>
    <mergeCell ref="F19:G19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1"/>
  <sheetViews>
    <sheetView showGridLines="0" zoomScaleNormal="100" workbookViewId="0">
      <selection activeCell="J1" sqref="J1"/>
    </sheetView>
  </sheetViews>
  <sheetFormatPr defaultColWidth="9.140625" defaultRowHeight="12.75"/>
  <cols>
    <col min="1" max="2" width="4.28515625" style="44" customWidth="1"/>
    <col min="3" max="10" width="12.42578125" style="44" customWidth="1"/>
    <col min="11" max="256" width="11.42578125" style="44" customWidth="1"/>
    <col min="257" max="16384" width="9.140625" style="44"/>
  </cols>
  <sheetData>
    <row r="1" spans="1:11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>
      <c r="A7" s="83"/>
      <c r="B7" s="83"/>
      <c r="C7" s="43"/>
      <c r="D7" s="43"/>
      <c r="E7" s="302" t="s">
        <v>2</v>
      </c>
      <c r="F7" s="302"/>
      <c r="G7" s="302"/>
      <c r="H7" s="302"/>
      <c r="I7" s="84" t="s">
        <v>36</v>
      </c>
      <c r="J7" s="85">
        <f>CARÁT!$F$16</f>
        <v>2024</v>
      </c>
      <c r="K7" s="43"/>
    </row>
    <row r="8" spans="1:11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43"/>
    </row>
    <row r="11" spans="1:11">
      <c r="A11" s="41"/>
      <c r="B11" s="53"/>
      <c r="C11" s="46"/>
      <c r="D11" s="362"/>
      <c r="E11" s="362"/>
      <c r="F11" s="305"/>
      <c r="G11" s="305"/>
      <c r="H11" s="47"/>
      <c r="I11" s="47"/>
      <c r="J11" s="47"/>
      <c r="K11" s="43"/>
    </row>
    <row r="12" spans="1:11">
      <c r="A12" s="41"/>
      <c r="B12" s="53"/>
      <c r="C12" s="46"/>
      <c r="D12" s="363"/>
      <c r="E12" s="363"/>
      <c r="F12" s="305"/>
      <c r="G12" s="305"/>
      <c r="H12" s="47"/>
      <c r="I12" s="47"/>
      <c r="J12" s="47"/>
      <c r="K12" s="43"/>
    </row>
    <row r="13" spans="1:11">
      <c r="A13" s="41"/>
      <c r="B13" s="53"/>
      <c r="C13" s="46"/>
      <c r="D13" s="363"/>
      <c r="E13" s="363"/>
      <c r="F13" s="305"/>
      <c r="G13" s="305"/>
      <c r="H13" s="47"/>
      <c r="I13" s="47"/>
      <c r="J13" s="47"/>
      <c r="K13" s="43"/>
    </row>
    <row r="14" spans="1:11">
      <c r="A14" s="41"/>
      <c r="B14" s="53"/>
      <c r="C14" s="46"/>
      <c r="D14" s="363"/>
      <c r="E14" s="363"/>
      <c r="F14" s="305"/>
      <c r="G14" s="305"/>
      <c r="H14" s="47"/>
      <c r="I14" s="47"/>
      <c r="J14" s="47"/>
      <c r="K14" s="43"/>
    </row>
    <row r="15" spans="1:11">
      <c r="A15" s="41"/>
      <c r="B15" s="53"/>
      <c r="C15" s="46"/>
      <c r="D15" s="363"/>
      <c r="E15" s="363"/>
      <c r="F15" s="305"/>
      <c r="G15" s="305"/>
      <c r="H15" s="47"/>
      <c r="I15" s="47"/>
      <c r="J15" s="47"/>
      <c r="K15" s="43"/>
    </row>
    <row r="16" spans="1:11">
      <c r="A16" s="41"/>
      <c r="B16" s="53"/>
      <c r="C16" s="46"/>
      <c r="D16" s="363"/>
      <c r="E16" s="363"/>
      <c r="F16" s="305"/>
      <c r="G16" s="305"/>
      <c r="H16" s="47"/>
      <c r="I16" s="47"/>
      <c r="J16" s="47"/>
      <c r="K16" s="43"/>
    </row>
    <row r="17" spans="1:11">
      <c r="A17" s="41"/>
      <c r="B17" s="53"/>
      <c r="C17" s="46"/>
      <c r="D17" s="363"/>
      <c r="E17" s="363"/>
      <c r="F17" s="305"/>
      <c r="G17" s="305"/>
      <c r="H17" s="47"/>
      <c r="I17" s="47"/>
      <c r="J17" s="47"/>
      <c r="K17" s="43"/>
    </row>
    <row r="18" spans="1:11">
      <c r="A18" s="41"/>
      <c r="B18" s="53"/>
      <c r="C18" s="46"/>
      <c r="D18" s="363"/>
      <c r="E18" s="363"/>
      <c r="F18" s="305"/>
      <c r="G18" s="305"/>
      <c r="H18" s="303"/>
      <c r="I18" s="303"/>
      <c r="J18" s="303"/>
      <c r="K18" s="43"/>
    </row>
    <row r="19" spans="1:11">
      <c r="A19" s="41"/>
      <c r="B19" s="53"/>
      <c r="C19" s="46"/>
      <c r="D19" s="363"/>
      <c r="E19" s="363"/>
      <c r="F19" s="305"/>
      <c r="G19" s="305"/>
      <c r="H19" s="303"/>
      <c r="I19" s="303"/>
      <c r="J19" s="303"/>
      <c r="K19" s="43"/>
    </row>
    <row r="20" spans="1:11">
      <c r="A20" s="41"/>
      <c r="B20" s="53"/>
      <c r="C20" s="46"/>
      <c r="D20" s="363"/>
      <c r="E20" s="363"/>
      <c r="F20" s="305"/>
      <c r="G20" s="305"/>
      <c r="H20" s="303"/>
      <c r="I20" s="303"/>
      <c r="J20" s="303"/>
      <c r="K20" s="43"/>
    </row>
    <row r="21" spans="1:11">
      <c r="A21" s="41"/>
      <c r="B21" s="53"/>
      <c r="C21" s="46"/>
      <c r="D21" s="363"/>
      <c r="E21" s="363"/>
      <c r="F21" s="305"/>
      <c r="G21" s="305"/>
      <c r="H21" s="303"/>
      <c r="I21" s="303"/>
      <c r="J21" s="303"/>
      <c r="K21" s="43"/>
    </row>
    <row r="22" spans="1:11">
      <c r="A22" s="41"/>
      <c r="B22" s="53"/>
      <c r="C22" s="46"/>
      <c r="D22" s="303"/>
      <c r="E22" s="303"/>
      <c r="F22" s="305"/>
      <c r="G22" s="305"/>
      <c r="H22" s="303"/>
      <c r="I22" s="303"/>
      <c r="J22" s="303"/>
      <c r="K22" s="43"/>
    </row>
    <row r="23" spans="1:11">
      <c r="A23" s="41"/>
      <c r="B23" s="53"/>
      <c r="C23" s="46"/>
      <c r="D23" s="363"/>
      <c r="E23" s="363"/>
      <c r="F23" s="305"/>
      <c r="G23" s="305"/>
      <c r="H23" s="303"/>
      <c r="I23" s="303"/>
      <c r="J23" s="303"/>
      <c r="K23" s="43"/>
    </row>
    <row r="24" spans="1:11">
      <c r="A24" s="41"/>
      <c r="B24" s="53"/>
      <c r="C24" s="46"/>
      <c r="D24" s="363"/>
      <c r="E24" s="363"/>
      <c r="F24" s="305"/>
      <c r="G24" s="305"/>
      <c r="H24" s="303"/>
      <c r="I24" s="303"/>
      <c r="J24" s="303"/>
      <c r="K24" s="43"/>
    </row>
    <row r="25" spans="1:11">
      <c r="A25" s="41"/>
      <c r="B25" s="53"/>
      <c r="C25" s="46"/>
      <c r="D25" s="363"/>
      <c r="E25" s="363"/>
      <c r="F25" s="305"/>
      <c r="G25" s="305"/>
      <c r="H25" s="303"/>
      <c r="I25" s="303"/>
      <c r="J25" s="303"/>
      <c r="K25" s="43"/>
    </row>
    <row r="26" spans="1:11">
      <c r="A26" s="41"/>
      <c r="B26" s="53"/>
      <c r="C26" s="46"/>
      <c r="D26" s="363"/>
      <c r="E26" s="363"/>
      <c r="F26" s="305"/>
      <c r="G26" s="305"/>
      <c r="H26" s="303"/>
      <c r="I26" s="303"/>
      <c r="J26" s="303"/>
      <c r="K26" s="43"/>
    </row>
    <row r="27" spans="1:11">
      <c r="A27" s="41"/>
      <c r="B27" s="53"/>
      <c r="C27" s="46"/>
      <c r="D27" s="363"/>
      <c r="E27" s="363"/>
      <c r="F27" s="305"/>
      <c r="G27" s="305"/>
      <c r="H27" s="303"/>
      <c r="I27" s="303"/>
      <c r="J27" s="303"/>
      <c r="K27" s="43"/>
    </row>
    <row r="28" spans="1:11">
      <c r="A28" s="41"/>
      <c r="B28" s="53"/>
      <c r="C28" s="46"/>
      <c r="D28" s="363"/>
      <c r="E28" s="363"/>
      <c r="F28" s="305"/>
      <c r="G28" s="305"/>
      <c r="H28" s="303"/>
      <c r="I28" s="303"/>
      <c r="J28" s="303"/>
      <c r="K28" s="43"/>
    </row>
    <row r="29" spans="1:11">
      <c r="A29" s="41"/>
      <c r="B29" s="53"/>
      <c r="C29" s="46"/>
      <c r="D29" s="363"/>
      <c r="E29" s="363"/>
      <c r="F29" s="304"/>
      <c r="G29" s="304"/>
      <c r="H29" s="303"/>
      <c r="I29" s="303"/>
      <c r="J29" s="303"/>
      <c r="K29" s="43"/>
    </row>
    <row r="30" spans="1:11">
      <c r="A30" s="41"/>
      <c r="B30" s="53"/>
      <c r="C30" s="46"/>
      <c r="D30" s="363"/>
      <c r="E30" s="363"/>
      <c r="F30" s="304"/>
      <c r="G30" s="304"/>
      <c r="H30" s="303"/>
      <c r="I30" s="303"/>
      <c r="J30" s="303"/>
      <c r="K30" s="43"/>
    </row>
    <row r="31" spans="1:11">
      <c r="A31" s="41"/>
      <c r="B31" s="53"/>
      <c r="C31" s="46"/>
      <c r="D31" s="363"/>
      <c r="E31" s="363"/>
      <c r="F31" s="304"/>
      <c r="G31" s="304"/>
      <c r="H31" s="303"/>
      <c r="I31" s="303"/>
      <c r="J31" s="303"/>
      <c r="K31" s="43"/>
    </row>
    <row r="32" spans="1:11">
      <c r="A32" s="41"/>
      <c r="B32" s="53"/>
      <c r="C32" s="46"/>
      <c r="D32" s="363"/>
      <c r="E32" s="363"/>
      <c r="F32" s="304"/>
      <c r="G32" s="304"/>
      <c r="H32" s="303"/>
      <c r="I32" s="303"/>
      <c r="J32" s="303"/>
      <c r="K32" s="43"/>
    </row>
    <row r="33" spans="1:11">
      <c r="A33" s="41"/>
      <c r="B33" s="53"/>
      <c r="C33" s="46"/>
      <c r="D33" s="363"/>
      <c r="E33" s="363"/>
      <c r="F33" s="304"/>
      <c r="G33" s="304"/>
      <c r="H33" s="303"/>
      <c r="I33" s="303"/>
      <c r="J33" s="303"/>
      <c r="K33" s="43"/>
    </row>
    <row r="34" spans="1:11">
      <c r="A34" s="41"/>
      <c r="B34" s="53"/>
      <c r="C34" s="46"/>
      <c r="D34" s="363"/>
      <c r="E34" s="363"/>
      <c r="F34" s="304"/>
      <c r="G34" s="304"/>
      <c r="H34" s="303"/>
      <c r="I34" s="303"/>
      <c r="J34" s="303"/>
      <c r="K34" s="43"/>
    </row>
    <row r="35" spans="1:11">
      <c r="A35" s="41"/>
      <c r="B35" s="53"/>
      <c r="C35" s="46"/>
      <c r="D35" s="303"/>
      <c r="E35" s="303"/>
      <c r="F35" s="304"/>
      <c r="G35" s="304"/>
      <c r="H35" s="303"/>
      <c r="I35" s="303"/>
      <c r="J35" s="303"/>
      <c r="K35" s="43"/>
    </row>
    <row r="36" spans="1:11">
      <c r="A36" s="41"/>
      <c r="B36" s="53"/>
      <c r="C36" s="46"/>
      <c r="D36" s="303"/>
      <c r="E36" s="303"/>
      <c r="F36" s="304"/>
      <c r="G36" s="304"/>
      <c r="H36" s="303"/>
      <c r="I36" s="303"/>
      <c r="J36" s="303"/>
      <c r="K36" s="43"/>
    </row>
    <row r="37" spans="1:11">
      <c r="A37" s="41"/>
      <c r="B37" s="53"/>
      <c r="C37" s="46"/>
      <c r="D37" s="303"/>
      <c r="E37" s="303"/>
      <c r="F37" s="304"/>
      <c r="G37" s="304"/>
      <c r="H37" s="303"/>
      <c r="I37" s="303"/>
      <c r="J37" s="303"/>
      <c r="K37" s="43"/>
    </row>
    <row r="38" spans="1:11">
      <c r="A38" s="41"/>
      <c r="B38" s="53"/>
      <c r="C38" s="46"/>
      <c r="D38" s="303"/>
      <c r="E38" s="303"/>
      <c r="F38" s="318"/>
      <c r="G38" s="318"/>
      <c r="H38" s="303"/>
      <c r="I38" s="303"/>
      <c r="J38" s="303"/>
      <c r="K38" s="43"/>
    </row>
    <row r="39" spans="1:11">
      <c r="A39" s="41"/>
      <c r="B39" s="41"/>
      <c r="C39" s="51"/>
      <c r="D39" s="52"/>
      <c r="E39" s="52"/>
      <c r="F39" s="329">
        <f>SUM(F11:G38)</f>
        <v>0</v>
      </c>
      <c r="G39" s="330"/>
      <c r="H39" s="53"/>
      <c r="I39" s="53"/>
      <c r="J39" s="53"/>
      <c r="K39" s="43"/>
    </row>
    <row r="40" spans="1:11">
      <c r="A40" s="41"/>
      <c r="B40" s="41"/>
      <c r="C40" s="55"/>
      <c r="D40" s="55"/>
      <c r="E40" s="56"/>
      <c r="F40" s="55"/>
      <c r="G40" s="55"/>
      <c r="H40" s="55"/>
      <c r="I40" s="54"/>
      <c r="J40" s="55"/>
      <c r="K40" s="43"/>
    </row>
    <row r="41" spans="1:11">
      <c r="A41" s="41"/>
      <c r="B41" s="41"/>
      <c r="C41" s="55"/>
      <c r="D41" s="319" t="s">
        <v>14</v>
      </c>
      <c r="E41" s="319"/>
      <c r="F41" s="55"/>
      <c r="G41" s="58">
        <f>F39/1000</f>
        <v>0</v>
      </c>
      <c r="H41" s="55"/>
      <c r="I41" s="54"/>
      <c r="J41" s="55"/>
      <c r="K41" s="43"/>
    </row>
    <row r="42" spans="1:11">
      <c r="A42" s="41"/>
      <c r="B42" s="41"/>
      <c r="C42" s="55"/>
      <c r="D42" s="55"/>
      <c r="E42" s="56"/>
      <c r="F42" s="55"/>
      <c r="G42" s="55"/>
      <c r="H42" s="55"/>
      <c r="I42" s="55"/>
      <c r="J42" s="54"/>
      <c r="K42" s="43"/>
    </row>
    <row r="43" spans="1:11">
      <c r="A43" s="41"/>
      <c r="B43" s="41"/>
      <c r="C43" s="55"/>
      <c r="D43" s="55"/>
      <c r="E43" s="55"/>
      <c r="F43" s="55"/>
      <c r="G43" s="55"/>
      <c r="H43" s="55"/>
      <c r="I43" s="55"/>
      <c r="J43" s="55"/>
      <c r="K43" s="43"/>
    </row>
    <row r="44" spans="1:11">
      <c r="A44" s="41"/>
      <c r="B44" s="41"/>
      <c r="C44" s="317" t="s">
        <v>15</v>
      </c>
      <c r="D44" s="317"/>
      <c r="E44" s="317" t="s">
        <v>16</v>
      </c>
      <c r="F44" s="317"/>
      <c r="G44" s="59" t="s">
        <v>17</v>
      </c>
      <c r="H44" s="59" t="s">
        <v>18</v>
      </c>
      <c r="I44" s="55"/>
      <c r="J44" s="55"/>
      <c r="K44" s="43"/>
    </row>
    <row r="45" spans="1:11">
      <c r="A45" s="41"/>
      <c r="B45" s="41"/>
      <c r="C45" s="334"/>
      <c r="D45" s="334"/>
      <c r="E45" s="304"/>
      <c r="F45" s="304"/>
      <c r="G45" s="61" t="e">
        <f>+E45/E50</f>
        <v>#DIV/0!</v>
      </c>
      <c r="H45" s="62"/>
      <c r="I45" s="55"/>
      <c r="J45" s="55"/>
      <c r="K45" s="43"/>
    </row>
    <row r="46" spans="1:11">
      <c r="A46" s="41"/>
      <c r="B46" s="41"/>
      <c r="C46" s="303"/>
      <c r="D46" s="303"/>
      <c r="E46" s="304"/>
      <c r="F46" s="304"/>
      <c r="G46" s="61" t="e">
        <f>+E46/E50</f>
        <v>#DIV/0!</v>
      </c>
      <c r="H46" s="62"/>
      <c r="I46" s="55"/>
      <c r="J46" s="55"/>
      <c r="K46" s="43"/>
    </row>
    <row r="47" spans="1:11">
      <c r="A47" s="41"/>
      <c r="B47" s="41"/>
      <c r="C47" s="303"/>
      <c r="D47" s="303"/>
      <c r="E47" s="304"/>
      <c r="F47" s="304"/>
      <c r="G47" s="61" t="e">
        <f>+E47/E50</f>
        <v>#DIV/0!</v>
      </c>
      <c r="H47" s="62"/>
      <c r="I47" s="55"/>
      <c r="J47" s="55"/>
      <c r="K47" s="43"/>
    </row>
    <row r="48" spans="1:11">
      <c r="A48" s="41"/>
      <c r="B48" s="41"/>
      <c r="C48" s="303"/>
      <c r="D48" s="303"/>
      <c r="E48" s="304"/>
      <c r="F48" s="304"/>
      <c r="G48" s="61" t="e">
        <f>+E48/E50</f>
        <v>#DIV/0!</v>
      </c>
      <c r="H48" s="62"/>
      <c r="I48" s="55"/>
      <c r="J48" s="55"/>
      <c r="K48" s="43"/>
    </row>
    <row r="49" spans="1:11">
      <c r="A49" s="41"/>
      <c r="B49" s="41"/>
      <c r="C49" s="303"/>
      <c r="D49" s="303"/>
      <c r="E49" s="304"/>
      <c r="F49" s="304"/>
      <c r="G49" s="61" t="e">
        <f>+E49/E50</f>
        <v>#DIV/0!</v>
      </c>
      <c r="H49" s="62"/>
      <c r="I49" s="55"/>
      <c r="J49" s="55"/>
      <c r="K49" s="43"/>
    </row>
    <row r="50" spans="1:11">
      <c r="A50" s="41"/>
      <c r="B50" s="41"/>
      <c r="C50" s="64"/>
      <c r="D50" s="57" t="s">
        <v>21</v>
      </c>
      <c r="E50" s="365">
        <f>SUM(E45:F49)</f>
        <v>0</v>
      </c>
      <c r="F50" s="365"/>
      <c r="G50" s="65" t="e">
        <f>SUM(G45:G49)</f>
        <v>#DIV/0!</v>
      </c>
      <c r="H50" s="66">
        <f>SUM(H45:H49)</f>
        <v>0</v>
      </c>
      <c r="I50" s="55"/>
      <c r="J50" s="55"/>
      <c r="K50" s="43"/>
    </row>
    <row r="51" spans="1:11">
      <c r="A51" s="41"/>
      <c r="B51" s="41"/>
      <c r="C51" s="67"/>
      <c r="D51" s="67"/>
      <c r="E51" s="52"/>
      <c r="F51" s="52"/>
      <c r="G51" s="52"/>
      <c r="H51" s="55"/>
      <c r="I51" s="55"/>
      <c r="J51" s="55"/>
      <c r="K51" s="43"/>
    </row>
    <row r="52" spans="1:11">
      <c r="A52" s="41"/>
      <c r="B52" s="41"/>
      <c r="C52" s="68"/>
      <c r="D52" s="55"/>
      <c r="E52" s="54"/>
      <c r="F52" s="69"/>
      <c r="G52" s="70"/>
      <c r="H52" s="55"/>
      <c r="I52" s="55"/>
      <c r="J52" s="55"/>
      <c r="K52" s="43"/>
    </row>
    <row r="53" spans="1:11">
      <c r="A53" s="41"/>
      <c r="B53" s="41"/>
      <c r="C53" s="313" t="s">
        <v>8</v>
      </c>
      <c r="D53" s="314"/>
      <c r="E53" s="315"/>
      <c r="F53" s="316" t="s">
        <v>7</v>
      </c>
      <c r="G53" s="317"/>
      <c r="H53" s="59" t="s">
        <v>17</v>
      </c>
      <c r="I53" s="55"/>
      <c r="J53" s="55"/>
      <c r="K53" s="43"/>
    </row>
    <row r="54" spans="1:11">
      <c r="A54" s="41"/>
      <c r="B54" s="41"/>
      <c r="C54" s="303" t="s">
        <v>22</v>
      </c>
      <c r="D54" s="303"/>
      <c r="E54" s="303"/>
      <c r="F54" s="312"/>
      <c r="G54" s="312"/>
      <c r="H54" s="61" t="e">
        <f>F54/F56</f>
        <v>#DIV/0!</v>
      </c>
      <c r="I54" s="55"/>
      <c r="J54" s="55"/>
      <c r="K54" s="43"/>
    </row>
    <row r="55" spans="1:11">
      <c r="A55" s="41"/>
      <c r="B55" s="41"/>
      <c r="C55" s="303" t="s">
        <v>23</v>
      </c>
      <c r="D55" s="303"/>
      <c r="E55" s="303"/>
      <c r="F55" s="318">
        <f>F39</f>
        <v>0</v>
      </c>
      <c r="G55" s="318"/>
      <c r="H55" s="61" t="e">
        <f>F55/F56</f>
        <v>#DIV/0!</v>
      </c>
      <c r="I55" s="55"/>
      <c r="J55" s="55"/>
      <c r="K55" s="43"/>
    </row>
    <row r="56" spans="1:11">
      <c r="A56" s="41"/>
      <c r="B56" s="41"/>
      <c r="C56" s="55"/>
      <c r="D56" s="55" t="s">
        <v>21</v>
      </c>
      <c r="E56" s="55"/>
      <c r="F56" s="308">
        <f>SUM(F54:G55)</f>
        <v>0</v>
      </c>
      <c r="G56" s="308"/>
      <c r="H56" s="65" t="e">
        <f>SUM(H54:H55)</f>
        <v>#DIV/0!</v>
      </c>
      <c r="I56" s="55"/>
      <c r="J56" s="55"/>
      <c r="K56" s="43"/>
    </row>
    <row r="57" spans="1:11">
      <c r="A57" s="41"/>
      <c r="B57" s="41"/>
      <c r="C57" s="55"/>
      <c r="D57" s="55"/>
      <c r="E57" s="55"/>
      <c r="F57" s="88"/>
      <c r="G57" s="88"/>
      <c r="H57" s="89"/>
      <c r="I57" s="55"/>
      <c r="J57" s="55"/>
      <c r="K57" s="43"/>
    </row>
    <row r="58" spans="1:11">
      <c r="A58" s="41"/>
      <c r="B58" s="41"/>
      <c r="C58" s="55"/>
      <c r="D58" s="43"/>
      <c r="E58" s="309" t="s">
        <v>24</v>
      </c>
      <c r="F58" s="309"/>
      <c r="G58" s="309"/>
      <c r="H58" s="309"/>
      <c r="I58" s="55"/>
      <c r="J58" s="55"/>
      <c r="K58" s="43"/>
    </row>
    <row r="59" spans="1:11">
      <c r="A59" s="41"/>
      <c r="B59" s="41"/>
      <c r="C59" s="55"/>
      <c r="D59" s="72"/>
      <c r="E59" s="55"/>
      <c r="F59" s="55"/>
      <c r="G59" s="55"/>
      <c r="H59" s="55"/>
      <c r="I59" s="55"/>
      <c r="J59" s="55"/>
      <c r="K59" s="43"/>
    </row>
    <row r="60" spans="1:11">
      <c r="A60" s="55"/>
      <c r="B60" s="55"/>
      <c r="C60" s="55"/>
      <c r="D60" s="73" t="s">
        <v>25</v>
      </c>
      <c r="E60" s="306" t="s">
        <v>26</v>
      </c>
      <c r="F60" s="307"/>
      <c r="G60" s="306" t="s">
        <v>27</v>
      </c>
      <c r="H60" s="307"/>
      <c r="I60" s="55"/>
      <c r="J60" s="55"/>
      <c r="K60" s="43"/>
    </row>
    <row r="61" spans="1:11">
      <c r="A61" s="55"/>
      <c r="B61" s="55"/>
      <c r="C61" s="55"/>
      <c r="D61" s="74" t="s">
        <v>28</v>
      </c>
      <c r="E61" s="96" t="s">
        <v>29</v>
      </c>
      <c r="F61" s="96" t="s">
        <v>30</v>
      </c>
      <c r="G61" s="78" t="s">
        <v>29</v>
      </c>
      <c r="H61" s="78" t="s">
        <v>30</v>
      </c>
      <c r="I61" s="55"/>
      <c r="J61" s="55"/>
      <c r="K61" s="43"/>
    </row>
    <row r="62" spans="1:11">
      <c r="A62" s="55"/>
      <c r="B62" s="55"/>
      <c r="C62" s="55"/>
      <c r="D62" s="90" t="s">
        <v>31</v>
      </c>
      <c r="E62" s="91">
        <f>Comparativos!$BA$13</f>
        <v>123.39</v>
      </c>
      <c r="F62" s="92">
        <f>Comparativos!$BB$13</f>
        <v>4</v>
      </c>
      <c r="G62" s="93">
        <f>ENE!$G$46</f>
        <v>417.87</v>
      </c>
      <c r="H62" s="98">
        <f>ENE!$H$55</f>
        <v>8</v>
      </c>
      <c r="I62" s="55"/>
      <c r="J62" s="55"/>
      <c r="K62" s="43"/>
    </row>
    <row r="63" spans="1:11">
      <c r="A63" s="55"/>
      <c r="B63" s="55"/>
      <c r="C63" s="55"/>
      <c r="D63" s="90" t="s">
        <v>33</v>
      </c>
      <c r="E63" s="104">
        <f>Comparativos!$BA$14</f>
        <v>176.79</v>
      </c>
      <c r="F63" s="101">
        <f>Comparativos!$BB$14</f>
        <v>6</v>
      </c>
      <c r="G63" s="100">
        <f>FEB!$G$48</f>
        <v>127.8</v>
      </c>
      <c r="H63" s="101">
        <f>FEB!$H$57</f>
        <v>2</v>
      </c>
      <c r="I63" s="55"/>
      <c r="J63" s="55"/>
      <c r="K63" s="43"/>
    </row>
    <row r="64" spans="1:11">
      <c r="A64" s="55"/>
      <c r="B64" s="55"/>
      <c r="C64" s="55"/>
      <c r="D64" s="90" t="s">
        <v>35</v>
      </c>
      <c r="E64" s="104">
        <f>Comparativos!$BA$15</f>
        <v>370.56</v>
      </c>
      <c r="F64" s="101">
        <f>Comparativos!$BB$15</f>
        <v>11</v>
      </c>
      <c r="G64" s="100">
        <f>MAR!$G$43</f>
        <v>78.06</v>
      </c>
      <c r="H64" s="101">
        <f>MAR!$H$51</f>
        <v>2</v>
      </c>
      <c r="I64" s="55"/>
      <c r="J64" s="55"/>
      <c r="K64" s="43"/>
    </row>
    <row r="65" spans="1:11">
      <c r="A65" s="55"/>
      <c r="B65" s="55"/>
      <c r="C65" s="55"/>
      <c r="D65" s="94" t="s">
        <v>37</v>
      </c>
      <c r="E65" s="76">
        <f>Comparativos!$BA$16</f>
        <v>201.99</v>
      </c>
      <c r="F65" s="102">
        <f>Comparativos!$BB$16</f>
        <v>8</v>
      </c>
      <c r="G65" s="95">
        <f>G41</f>
        <v>0</v>
      </c>
      <c r="H65" s="102">
        <f>ABR!H50</f>
        <v>0</v>
      </c>
      <c r="I65" s="55"/>
      <c r="J65" s="55"/>
      <c r="K65" s="43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43"/>
    </row>
    <row r="67" spans="1:11">
      <c r="A67" s="55"/>
      <c r="B67" s="55"/>
      <c r="C67" s="55"/>
      <c r="D67" s="55"/>
      <c r="E67" s="79">
        <f>SUM(E62:E66)</f>
        <v>872.73</v>
      </c>
      <c r="F67" s="80">
        <f>SUM(F62:F66)</f>
        <v>29</v>
      </c>
      <c r="G67" s="79">
        <f>SUM(G62:G65)</f>
        <v>623.73</v>
      </c>
      <c r="H67" s="80">
        <f>SUM(H62:H65)</f>
        <v>12</v>
      </c>
      <c r="I67" s="55"/>
      <c r="J67" s="55"/>
      <c r="K67" s="43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>
      <c r="A70" s="43"/>
      <c r="B70" s="43"/>
      <c r="C70" s="43"/>
      <c r="D70" s="43"/>
      <c r="E70" s="43"/>
      <c r="F70" s="43"/>
      <c r="G70" s="43"/>
      <c r="H70" s="43"/>
      <c r="I70" s="43"/>
      <c r="J70" s="43"/>
    </row>
    <row r="71" spans="1:11">
      <c r="A71" s="43"/>
      <c r="B71" s="43"/>
      <c r="C71" s="43"/>
      <c r="D71" s="43"/>
      <c r="E71" s="43"/>
      <c r="F71" s="43"/>
      <c r="G71" s="43"/>
      <c r="H71" s="43"/>
      <c r="I71" s="43"/>
      <c r="J71" s="43"/>
    </row>
    <row r="72" spans="1:11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1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1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1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1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1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>
      <c r="A81" s="43"/>
      <c r="B81" s="43"/>
      <c r="C81" s="43"/>
      <c r="D81" s="43"/>
      <c r="E81" s="43"/>
      <c r="F81" s="43"/>
      <c r="G81" s="43"/>
      <c r="H81" s="43"/>
      <c r="I81" s="43"/>
      <c r="J81" s="43"/>
    </row>
  </sheetData>
  <mergeCells count="106">
    <mergeCell ref="E48:F48"/>
    <mergeCell ref="C47:D47"/>
    <mergeCell ref="E47:F47"/>
    <mergeCell ref="D31:E31"/>
    <mergeCell ref="D30:E30"/>
    <mergeCell ref="E60:F60"/>
    <mergeCell ref="G60:H60"/>
    <mergeCell ref="C55:E55"/>
    <mergeCell ref="F56:G56"/>
    <mergeCell ref="E50:F50"/>
    <mergeCell ref="C53:E53"/>
    <mergeCell ref="F53:G53"/>
    <mergeCell ref="E58:H58"/>
    <mergeCell ref="C54:E54"/>
    <mergeCell ref="F54:G54"/>
    <mergeCell ref="F55:G55"/>
    <mergeCell ref="D37:E37"/>
    <mergeCell ref="H35:J35"/>
    <mergeCell ref="H36:J36"/>
    <mergeCell ref="H37:J37"/>
    <mergeCell ref="F37:G37"/>
    <mergeCell ref="F38:G38"/>
    <mergeCell ref="C49:D49"/>
    <mergeCell ref="E49:F49"/>
    <mergeCell ref="D41:E41"/>
    <mergeCell ref="D36:E36"/>
    <mergeCell ref="C48:D48"/>
    <mergeCell ref="D10:E10"/>
    <mergeCell ref="F10:G10"/>
    <mergeCell ref="H10:J10"/>
    <mergeCell ref="D11:E11"/>
    <mergeCell ref="F11:G11"/>
    <mergeCell ref="D12:E12"/>
    <mergeCell ref="F12:G12"/>
    <mergeCell ref="D34:E34"/>
    <mergeCell ref="H30:J30"/>
    <mergeCell ref="H26:J26"/>
    <mergeCell ref="H28:J28"/>
    <mergeCell ref="H27:J27"/>
    <mergeCell ref="D26:E26"/>
    <mergeCell ref="F26:G26"/>
    <mergeCell ref="D22:E22"/>
    <mergeCell ref="F22:G22"/>
    <mergeCell ref="D23:E23"/>
    <mergeCell ref="D24:E24"/>
    <mergeCell ref="D33:E33"/>
    <mergeCell ref="H22:J22"/>
    <mergeCell ref="D25:E25"/>
    <mergeCell ref="D28:E28"/>
    <mergeCell ref="D32:E32"/>
    <mergeCell ref="D13:E13"/>
    <mergeCell ref="F13:G13"/>
    <mergeCell ref="D14:E14"/>
    <mergeCell ref="F14:G14"/>
    <mergeCell ref="D16:E16"/>
    <mergeCell ref="F16:G16"/>
    <mergeCell ref="F20:G20"/>
    <mergeCell ref="F31:G31"/>
    <mergeCell ref="F19:G19"/>
    <mergeCell ref="D20:E20"/>
    <mergeCell ref="D15:E15"/>
    <mergeCell ref="F15:G15"/>
    <mergeCell ref="F17:G17"/>
    <mergeCell ref="D27:E27"/>
    <mergeCell ref="H34:J34"/>
    <mergeCell ref="H19:J19"/>
    <mergeCell ref="H18:J18"/>
    <mergeCell ref="H24:J24"/>
    <mergeCell ref="H25:J25"/>
    <mergeCell ref="F21:G21"/>
    <mergeCell ref="H21:J21"/>
    <mergeCell ref="H23:J23"/>
    <mergeCell ref="F23:G23"/>
    <mergeCell ref="F24:G24"/>
    <mergeCell ref="H29:J29"/>
    <mergeCell ref="H31:J31"/>
    <mergeCell ref="H32:J32"/>
    <mergeCell ref="F33:G33"/>
    <mergeCell ref="H33:J33"/>
    <mergeCell ref="H20:J20"/>
    <mergeCell ref="F28:G28"/>
    <mergeCell ref="F25:G25"/>
    <mergeCell ref="E7:H7"/>
    <mergeCell ref="H38:J38"/>
    <mergeCell ref="C45:D45"/>
    <mergeCell ref="E45:F45"/>
    <mergeCell ref="C46:D46"/>
    <mergeCell ref="E46:F46"/>
    <mergeCell ref="D38:E38"/>
    <mergeCell ref="C44:D44"/>
    <mergeCell ref="E44:F44"/>
    <mergeCell ref="F39:G39"/>
    <mergeCell ref="D18:E18"/>
    <mergeCell ref="F18:G18"/>
    <mergeCell ref="D17:E17"/>
    <mergeCell ref="D21:E21"/>
    <mergeCell ref="F32:G32"/>
    <mergeCell ref="F35:G35"/>
    <mergeCell ref="F36:G36"/>
    <mergeCell ref="F27:G27"/>
    <mergeCell ref="F30:G30"/>
    <mergeCell ref="D29:E29"/>
    <mergeCell ref="F29:G29"/>
    <mergeCell ref="D35:E35"/>
    <mergeCell ref="D19:E19"/>
    <mergeCell ref="F34:G34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3"/>
  <sheetViews>
    <sheetView showGridLines="0" zoomScaleNormal="100" workbookViewId="0">
      <selection activeCell="J1" sqref="J1"/>
    </sheetView>
  </sheetViews>
  <sheetFormatPr defaultColWidth="9.140625" defaultRowHeight="12.75"/>
  <cols>
    <col min="1" max="2" width="4.28515625" style="44" customWidth="1"/>
    <col min="3" max="10" width="12.42578125" style="44" customWidth="1"/>
    <col min="11" max="256" width="11.42578125" style="44" customWidth="1"/>
    <col min="257" max="16384" width="9.140625" style="44"/>
  </cols>
  <sheetData>
    <row r="1" spans="1:11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>
      <c r="A7" s="83"/>
      <c r="B7" s="83"/>
      <c r="C7" s="43"/>
      <c r="D7" s="43"/>
      <c r="E7" s="302" t="s">
        <v>2</v>
      </c>
      <c r="F7" s="302"/>
      <c r="G7" s="302"/>
      <c r="H7" s="302"/>
      <c r="I7" s="84" t="s">
        <v>38</v>
      </c>
      <c r="J7" s="85">
        <f>CARÁT!$F$16</f>
        <v>2024</v>
      </c>
      <c r="K7" s="43"/>
    </row>
    <row r="8" spans="1:11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43"/>
    </row>
    <row r="11" spans="1:11">
      <c r="A11" s="41"/>
      <c r="B11" s="41"/>
      <c r="C11" s="46"/>
      <c r="D11" s="362"/>
      <c r="E11" s="362"/>
      <c r="F11" s="305"/>
      <c r="G11" s="305"/>
      <c r="H11" s="47"/>
      <c r="I11" s="47"/>
      <c r="J11" s="47"/>
      <c r="K11" s="43"/>
    </row>
    <row r="12" spans="1:11">
      <c r="A12" s="41"/>
      <c r="B12" s="41"/>
      <c r="C12" s="46"/>
      <c r="D12" s="363"/>
      <c r="E12" s="363"/>
      <c r="F12" s="305"/>
      <c r="G12" s="305"/>
      <c r="H12" s="47"/>
      <c r="I12" s="47"/>
      <c r="J12" s="47"/>
      <c r="K12" s="43"/>
    </row>
    <row r="13" spans="1:11">
      <c r="A13" s="41"/>
      <c r="B13" s="41"/>
      <c r="C13" s="46"/>
      <c r="D13" s="363"/>
      <c r="E13" s="363"/>
      <c r="F13" s="305"/>
      <c r="G13" s="305"/>
      <c r="H13" s="47"/>
      <c r="I13" s="47"/>
      <c r="J13" s="47"/>
      <c r="K13" s="43"/>
    </row>
    <row r="14" spans="1:11">
      <c r="A14" s="41"/>
      <c r="B14" s="41"/>
      <c r="C14" s="46"/>
      <c r="D14" s="363"/>
      <c r="E14" s="363"/>
      <c r="F14" s="305"/>
      <c r="G14" s="305"/>
      <c r="H14" s="47"/>
      <c r="I14" s="47"/>
      <c r="J14" s="47"/>
      <c r="K14" s="43"/>
    </row>
    <row r="15" spans="1:11">
      <c r="A15" s="41"/>
      <c r="B15" s="41"/>
      <c r="C15" s="46"/>
      <c r="D15" s="363"/>
      <c r="E15" s="363"/>
      <c r="F15" s="305"/>
      <c r="G15" s="305"/>
      <c r="H15" s="47"/>
      <c r="I15" s="47"/>
      <c r="J15" s="47"/>
      <c r="K15" s="43"/>
    </row>
    <row r="16" spans="1:11">
      <c r="A16" s="41"/>
      <c r="B16" s="41"/>
      <c r="C16" s="46"/>
      <c r="D16" s="363"/>
      <c r="E16" s="363"/>
      <c r="F16" s="335"/>
      <c r="G16" s="335"/>
      <c r="H16" s="303"/>
      <c r="I16" s="303"/>
      <c r="J16" s="303"/>
      <c r="K16" s="43"/>
    </row>
    <row r="17" spans="1:11">
      <c r="A17" s="41"/>
      <c r="B17" s="41"/>
      <c r="C17" s="46"/>
      <c r="D17" s="363"/>
      <c r="E17" s="363"/>
      <c r="F17" s="304"/>
      <c r="G17" s="304"/>
      <c r="H17" s="303"/>
      <c r="I17" s="303"/>
      <c r="J17" s="303"/>
      <c r="K17" s="43"/>
    </row>
    <row r="18" spans="1:11">
      <c r="A18" s="41"/>
      <c r="B18" s="41"/>
      <c r="C18" s="46"/>
      <c r="D18" s="363"/>
      <c r="E18" s="363"/>
      <c r="F18" s="304"/>
      <c r="G18" s="304"/>
      <c r="H18" s="303"/>
      <c r="I18" s="303"/>
      <c r="J18" s="303"/>
      <c r="K18" s="43"/>
    </row>
    <row r="19" spans="1:11">
      <c r="A19" s="41"/>
      <c r="B19" s="41"/>
      <c r="C19" s="46"/>
      <c r="D19" s="363"/>
      <c r="E19" s="363"/>
      <c r="F19" s="304"/>
      <c r="G19" s="304"/>
      <c r="H19" s="303"/>
      <c r="I19" s="303"/>
      <c r="J19" s="303"/>
      <c r="K19" s="43"/>
    </row>
    <row r="20" spans="1:11">
      <c r="A20" s="41"/>
      <c r="B20" s="41"/>
      <c r="C20" s="46"/>
      <c r="D20" s="363"/>
      <c r="E20" s="363"/>
      <c r="F20" s="304"/>
      <c r="G20" s="304"/>
      <c r="H20" s="303"/>
      <c r="I20" s="303"/>
      <c r="J20" s="303"/>
      <c r="K20" s="43"/>
    </row>
    <row r="21" spans="1:11">
      <c r="A21" s="41"/>
      <c r="B21" s="41"/>
      <c r="C21" s="46"/>
      <c r="D21" s="363"/>
      <c r="E21" s="363"/>
      <c r="F21" s="304"/>
      <c r="G21" s="304"/>
      <c r="H21" s="303"/>
      <c r="I21" s="303"/>
      <c r="J21" s="303"/>
      <c r="K21" s="43"/>
    </row>
    <row r="22" spans="1:11">
      <c r="A22" s="41"/>
      <c r="B22" s="41"/>
      <c r="C22" s="46"/>
      <c r="D22" s="363"/>
      <c r="E22" s="363"/>
      <c r="F22" s="304"/>
      <c r="G22" s="304"/>
      <c r="H22" s="303"/>
      <c r="I22" s="303"/>
      <c r="J22" s="303"/>
      <c r="K22" s="43"/>
    </row>
    <row r="23" spans="1:11">
      <c r="A23" s="41"/>
      <c r="B23" s="41"/>
      <c r="C23" s="46"/>
      <c r="D23" s="363"/>
      <c r="E23" s="363"/>
      <c r="F23" s="304"/>
      <c r="G23" s="304"/>
      <c r="H23" s="303"/>
      <c r="I23" s="303"/>
      <c r="J23" s="303"/>
      <c r="K23" s="43"/>
    </row>
    <row r="24" spans="1:11">
      <c r="A24" s="41"/>
      <c r="B24" s="41"/>
      <c r="C24" s="46"/>
      <c r="D24" s="363"/>
      <c r="E24" s="363"/>
      <c r="F24" s="304"/>
      <c r="G24" s="304"/>
      <c r="H24" s="303"/>
      <c r="I24" s="303"/>
      <c r="J24" s="303"/>
      <c r="K24" s="43"/>
    </row>
    <row r="25" spans="1:11">
      <c r="A25" s="41"/>
      <c r="B25" s="41"/>
      <c r="C25" s="46"/>
      <c r="D25" s="363"/>
      <c r="E25" s="363"/>
      <c r="F25" s="304"/>
      <c r="G25" s="304"/>
      <c r="H25" s="303"/>
      <c r="I25" s="303"/>
      <c r="J25" s="303"/>
      <c r="K25" s="43"/>
    </row>
    <row r="26" spans="1:11">
      <c r="A26" s="41"/>
      <c r="B26" s="41"/>
      <c r="C26" s="46"/>
      <c r="D26" s="363"/>
      <c r="E26" s="363"/>
      <c r="F26" s="304"/>
      <c r="G26" s="304"/>
      <c r="H26" s="303"/>
      <c r="I26" s="303"/>
      <c r="J26" s="303"/>
      <c r="K26" s="43"/>
    </row>
    <row r="27" spans="1:11">
      <c r="A27" s="41"/>
      <c r="B27" s="41"/>
      <c r="C27" s="46"/>
      <c r="D27" s="363"/>
      <c r="E27" s="363"/>
      <c r="F27" s="304"/>
      <c r="G27" s="304"/>
      <c r="H27" s="303"/>
      <c r="I27" s="303"/>
      <c r="J27" s="303"/>
      <c r="K27" s="43"/>
    </row>
    <row r="28" spans="1:11">
      <c r="A28" s="41"/>
      <c r="B28" s="41"/>
      <c r="C28" s="46"/>
      <c r="D28" s="363"/>
      <c r="E28" s="363"/>
      <c r="F28" s="304"/>
      <c r="G28" s="304"/>
      <c r="H28" s="303"/>
      <c r="I28" s="303"/>
      <c r="J28" s="303"/>
      <c r="K28" s="43"/>
    </row>
    <row r="29" spans="1:11">
      <c r="A29" s="41"/>
      <c r="B29" s="41"/>
      <c r="C29" s="46"/>
      <c r="D29" s="363"/>
      <c r="E29" s="363"/>
      <c r="F29" s="304"/>
      <c r="G29" s="304"/>
      <c r="H29" s="303"/>
      <c r="I29" s="303"/>
      <c r="J29" s="303"/>
      <c r="K29" s="43"/>
    </row>
    <row r="30" spans="1:11">
      <c r="A30" s="41"/>
      <c r="B30" s="41"/>
      <c r="C30" s="46"/>
      <c r="D30" s="363"/>
      <c r="E30" s="363"/>
      <c r="F30" s="304"/>
      <c r="G30" s="304"/>
      <c r="H30" s="303"/>
      <c r="I30" s="303"/>
      <c r="J30" s="303"/>
      <c r="K30" s="43"/>
    </row>
    <row r="31" spans="1:11">
      <c r="A31" s="41"/>
      <c r="B31" s="41"/>
      <c r="C31" s="46"/>
      <c r="D31" s="363"/>
      <c r="E31" s="363"/>
      <c r="F31" s="304"/>
      <c r="G31" s="304"/>
      <c r="H31" s="303"/>
      <c r="I31" s="303"/>
      <c r="J31" s="303"/>
      <c r="K31" s="43"/>
    </row>
    <row r="32" spans="1:11">
      <c r="A32" s="41"/>
      <c r="B32" s="41"/>
      <c r="C32" s="46"/>
      <c r="D32" s="363"/>
      <c r="E32" s="363"/>
      <c r="F32" s="304"/>
      <c r="G32" s="304"/>
      <c r="H32" s="303"/>
      <c r="I32" s="303"/>
      <c r="J32" s="303"/>
      <c r="K32" s="43"/>
    </row>
    <row r="33" spans="1:11">
      <c r="A33" s="41"/>
      <c r="B33" s="41"/>
      <c r="C33" s="46"/>
      <c r="D33" s="363"/>
      <c r="E33" s="363"/>
      <c r="F33" s="304"/>
      <c r="G33" s="304"/>
      <c r="H33" s="303"/>
      <c r="I33" s="303"/>
      <c r="J33" s="303"/>
      <c r="K33" s="43"/>
    </row>
    <row r="34" spans="1:11">
      <c r="A34" s="41"/>
      <c r="B34" s="41"/>
      <c r="C34" s="46"/>
      <c r="D34" s="303"/>
      <c r="E34" s="303"/>
      <c r="F34" s="304"/>
      <c r="G34" s="304"/>
      <c r="H34" s="303"/>
      <c r="I34" s="303"/>
      <c r="J34" s="41"/>
      <c r="K34" s="43"/>
    </row>
    <row r="35" spans="1:11">
      <c r="A35" s="41"/>
      <c r="B35" s="41"/>
      <c r="C35" s="46"/>
      <c r="D35" s="303"/>
      <c r="E35" s="303"/>
      <c r="F35" s="304"/>
      <c r="G35" s="304"/>
      <c r="H35" s="303"/>
      <c r="I35" s="303"/>
      <c r="J35" s="41"/>
      <c r="K35" s="43"/>
    </row>
    <row r="36" spans="1:11">
      <c r="A36" s="41"/>
      <c r="B36" s="41"/>
      <c r="C36" s="46"/>
      <c r="D36" s="303"/>
      <c r="E36" s="303"/>
      <c r="F36" s="304"/>
      <c r="G36" s="304"/>
      <c r="H36" s="303"/>
      <c r="I36" s="303"/>
      <c r="J36" s="41"/>
      <c r="K36" s="43"/>
    </row>
    <row r="37" spans="1:11">
      <c r="A37" s="41"/>
      <c r="B37" s="41"/>
      <c r="C37" s="46"/>
      <c r="D37" s="303"/>
      <c r="E37" s="303"/>
      <c r="F37" s="304"/>
      <c r="G37" s="304"/>
      <c r="H37" s="303"/>
      <c r="I37" s="303"/>
      <c r="J37" s="41"/>
      <c r="K37" s="43"/>
    </row>
    <row r="38" spans="1:11">
      <c r="A38" s="41"/>
      <c r="B38" s="41"/>
      <c r="C38" s="46"/>
      <c r="D38" s="303"/>
      <c r="E38" s="303"/>
      <c r="F38" s="304"/>
      <c r="G38" s="304"/>
      <c r="H38" s="303"/>
      <c r="I38" s="303"/>
      <c r="J38" s="41"/>
      <c r="K38" s="43"/>
    </row>
    <row r="39" spans="1:11">
      <c r="A39" s="41"/>
      <c r="B39" s="41"/>
      <c r="C39" s="46"/>
      <c r="D39" s="303"/>
      <c r="E39" s="303"/>
      <c r="F39" s="304"/>
      <c r="G39" s="304"/>
      <c r="H39" s="303"/>
      <c r="I39" s="303"/>
      <c r="J39" s="41"/>
      <c r="K39" s="43"/>
    </row>
    <row r="40" spans="1:11">
      <c r="A40" s="41"/>
      <c r="B40" s="41"/>
      <c r="C40" s="46"/>
      <c r="D40" s="363"/>
      <c r="E40" s="363"/>
      <c r="F40" s="304"/>
      <c r="G40" s="304"/>
      <c r="H40" s="303"/>
      <c r="I40" s="303"/>
      <c r="J40" s="303"/>
      <c r="K40" s="43"/>
    </row>
    <row r="41" spans="1:11">
      <c r="A41" s="41"/>
      <c r="B41" s="41"/>
      <c r="C41" s="46"/>
      <c r="D41" s="303"/>
      <c r="E41" s="303"/>
      <c r="F41" s="318"/>
      <c r="G41" s="318"/>
      <c r="H41" s="303"/>
      <c r="I41" s="303"/>
      <c r="J41" s="41"/>
      <c r="K41" s="43"/>
    </row>
    <row r="42" spans="1:11">
      <c r="A42" s="41"/>
      <c r="B42" s="41"/>
      <c r="C42" s="51"/>
      <c r="D42" s="53"/>
      <c r="E42" s="52"/>
      <c r="F42" s="329">
        <f>SUM(F11:G41)</f>
        <v>0</v>
      </c>
      <c r="G42" s="330"/>
      <c r="H42" s="53"/>
      <c r="I42" s="53"/>
      <c r="J42" s="53"/>
      <c r="K42" s="43"/>
    </row>
    <row r="43" spans="1:11">
      <c r="A43" s="41"/>
      <c r="B43" s="41"/>
      <c r="C43" s="55"/>
      <c r="D43" s="55"/>
      <c r="E43" s="56"/>
      <c r="F43" s="55"/>
      <c r="G43" s="55"/>
      <c r="H43" s="55"/>
      <c r="I43" s="55"/>
      <c r="J43" s="55"/>
      <c r="K43" s="43"/>
    </row>
    <row r="44" spans="1:11">
      <c r="A44" s="41"/>
      <c r="B44" s="41"/>
      <c r="C44" s="55"/>
      <c r="D44" s="319" t="s">
        <v>14</v>
      </c>
      <c r="E44" s="319"/>
      <c r="F44" s="55"/>
      <c r="G44" s="58">
        <f>F42/1000</f>
        <v>0</v>
      </c>
      <c r="H44" s="55"/>
      <c r="I44" s="54"/>
      <c r="J44" s="55"/>
      <c r="K44" s="43"/>
    </row>
    <row r="45" spans="1:11">
      <c r="A45" s="41"/>
      <c r="B45" s="41"/>
      <c r="C45" s="55"/>
      <c r="D45" s="55"/>
      <c r="E45" s="55"/>
      <c r="F45" s="55"/>
      <c r="G45" s="55"/>
      <c r="H45" s="55"/>
      <c r="I45" s="55"/>
      <c r="J45" s="55"/>
      <c r="K45" s="43"/>
    </row>
    <row r="46" spans="1:11">
      <c r="A46" s="41"/>
      <c r="B46" s="41"/>
      <c r="C46" s="317" t="s">
        <v>15</v>
      </c>
      <c r="D46" s="317"/>
      <c r="E46" s="317" t="s">
        <v>16</v>
      </c>
      <c r="F46" s="317"/>
      <c r="G46" s="59" t="s">
        <v>17</v>
      </c>
      <c r="H46" s="59" t="s">
        <v>18</v>
      </c>
      <c r="I46" s="55"/>
      <c r="J46" s="55"/>
      <c r="K46" s="43"/>
    </row>
    <row r="47" spans="1:11">
      <c r="A47" s="41"/>
      <c r="B47" s="41"/>
      <c r="C47" s="334"/>
      <c r="D47" s="334"/>
      <c r="E47" s="304"/>
      <c r="F47" s="304"/>
      <c r="G47" s="61" t="e">
        <f>E47/E52</f>
        <v>#DIV/0!</v>
      </c>
      <c r="H47" s="62"/>
      <c r="I47" s="55"/>
      <c r="J47" s="55"/>
      <c r="K47" s="43"/>
    </row>
    <row r="48" spans="1:11">
      <c r="A48" s="41"/>
      <c r="B48" s="41"/>
      <c r="C48" s="303"/>
      <c r="D48" s="303"/>
      <c r="E48" s="304"/>
      <c r="F48" s="304"/>
      <c r="G48" s="61" t="e">
        <f>E48/E52</f>
        <v>#DIV/0!</v>
      </c>
      <c r="H48" s="62"/>
      <c r="I48" s="55"/>
      <c r="J48" s="55"/>
      <c r="K48" s="43"/>
    </row>
    <row r="49" spans="1:11">
      <c r="A49" s="41"/>
      <c r="B49" s="41"/>
      <c r="C49" s="303"/>
      <c r="D49" s="303"/>
      <c r="E49" s="304"/>
      <c r="F49" s="304"/>
      <c r="G49" s="61" t="e">
        <f>E49/E52</f>
        <v>#DIV/0!</v>
      </c>
      <c r="H49" s="62"/>
      <c r="I49" s="55"/>
      <c r="J49" s="55"/>
      <c r="K49" s="43"/>
    </row>
    <row r="50" spans="1:11">
      <c r="A50" s="41"/>
      <c r="B50" s="41"/>
      <c r="C50" s="303"/>
      <c r="D50" s="303"/>
      <c r="E50" s="304"/>
      <c r="F50" s="304"/>
      <c r="G50" s="61" t="e">
        <f>E50/E52</f>
        <v>#DIV/0!</v>
      </c>
      <c r="H50" s="62"/>
      <c r="I50" s="55"/>
      <c r="J50" s="55"/>
      <c r="K50" s="43"/>
    </row>
    <row r="51" spans="1:11">
      <c r="A51" s="41"/>
      <c r="B51" s="41"/>
      <c r="C51" s="303"/>
      <c r="D51" s="303"/>
      <c r="E51" s="304"/>
      <c r="F51" s="304"/>
      <c r="G51" s="61" t="e">
        <f>E51/E52</f>
        <v>#DIV/0!</v>
      </c>
      <c r="H51" s="62"/>
      <c r="I51" s="55"/>
      <c r="J51" s="55"/>
      <c r="K51" s="43"/>
    </row>
    <row r="52" spans="1:11">
      <c r="A52" s="41"/>
      <c r="B52" s="41"/>
      <c r="C52" s="64"/>
      <c r="D52" s="57" t="s">
        <v>21</v>
      </c>
      <c r="E52" s="365">
        <f>SUM(E47:F51)</f>
        <v>0</v>
      </c>
      <c r="F52" s="365"/>
      <c r="G52" s="65" t="e">
        <f>SUM(G47:G51)</f>
        <v>#DIV/0!</v>
      </c>
      <c r="H52" s="66">
        <f>SUM(H47:H51)</f>
        <v>0</v>
      </c>
      <c r="I52" s="55"/>
      <c r="J52" s="55"/>
      <c r="K52" s="43"/>
    </row>
    <row r="53" spans="1:11">
      <c r="A53" s="41"/>
      <c r="B53" s="41"/>
      <c r="C53" s="67"/>
      <c r="D53" s="67"/>
      <c r="E53" s="52"/>
      <c r="F53" s="52"/>
      <c r="G53" s="52"/>
      <c r="H53" s="55"/>
      <c r="I53" s="55"/>
      <c r="J53" s="55"/>
      <c r="K53" s="43"/>
    </row>
    <row r="54" spans="1:11">
      <c r="A54" s="41"/>
      <c r="B54" s="41"/>
      <c r="C54" s="313" t="s">
        <v>8</v>
      </c>
      <c r="D54" s="314"/>
      <c r="E54" s="315"/>
      <c r="F54" s="316" t="s">
        <v>7</v>
      </c>
      <c r="G54" s="317"/>
      <c r="H54" s="59" t="s">
        <v>17</v>
      </c>
      <c r="I54" s="55"/>
      <c r="J54" s="55"/>
      <c r="K54" s="43"/>
    </row>
    <row r="55" spans="1:11">
      <c r="A55" s="41"/>
      <c r="B55" s="41"/>
      <c r="C55" s="303" t="s">
        <v>22</v>
      </c>
      <c r="D55" s="303"/>
      <c r="E55" s="303"/>
      <c r="F55" s="312"/>
      <c r="G55" s="312"/>
      <c r="H55" s="61" t="e">
        <f>F55/F57</f>
        <v>#DIV/0!</v>
      </c>
      <c r="I55" s="55"/>
      <c r="J55" s="55"/>
      <c r="K55" s="43"/>
    </row>
    <row r="56" spans="1:11">
      <c r="A56" s="41"/>
      <c r="B56" s="41"/>
      <c r="C56" s="303" t="s">
        <v>23</v>
      </c>
      <c r="D56" s="303"/>
      <c r="E56" s="303"/>
      <c r="F56" s="318">
        <f>F42</f>
        <v>0</v>
      </c>
      <c r="G56" s="318"/>
      <c r="H56" s="61" t="e">
        <f>F56/F57</f>
        <v>#DIV/0!</v>
      </c>
      <c r="I56" s="55"/>
      <c r="J56" s="54"/>
      <c r="K56" s="43"/>
    </row>
    <row r="57" spans="1:11">
      <c r="A57" s="41"/>
      <c r="B57" s="41"/>
      <c r="C57" s="55"/>
      <c r="D57" s="55" t="s">
        <v>21</v>
      </c>
      <c r="E57" s="55"/>
      <c r="F57" s="308">
        <f>SUM(F55:G56)</f>
        <v>0</v>
      </c>
      <c r="G57" s="308"/>
      <c r="H57" s="65" t="e">
        <f>SUM(H55:H56)</f>
        <v>#DIV/0!</v>
      </c>
      <c r="I57" s="55"/>
      <c r="J57" s="55"/>
      <c r="K57" s="43"/>
    </row>
    <row r="58" spans="1:11">
      <c r="A58" s="41"/>
      <c r="B58" s="41"/>
      <c r="C58" s="55"/>
      <c r="D58" s="55"/>
      <c r="E58" s="55"/>
      <c r="F58" s="88"/>
      <c r="G58" s="88"/>
      <c r="H58" s="89"/>
      <c r="I58" s="55"/>
      <c r="J58" s="55"/>
      <c r="K58" s="43"/>
    </row>
    <row r="59" spans="1:11">
      <c r="A59" s="41"/>
      <c r="B59" s="41"/>
      <c r="C59" s="55"/>
      <c r="D59" s="43"/>
      <c r="E59" s="309" t="s">
        <v>24</v>
      </c>
      <c r="F59" s="309"/>
      <c r="G59" s="309"/>
      <c r="H59" s="309"/>
      <c r="I59" s="55"/>
      <c r="J59" s="55"/>
      <c r="K59" s="43"/>
    </row>
    <row r="60" spans="1:11">
      <c r="A60" s="41"/>
      <c r="B60" s="41"/>
      <c r="C60" s="55"/>
      <c r="D60" s="72"/>
      <c r="E60" s="55"/>
      <c r="F60" s="55"/>
      <c r="G60" s="55"/>
      <c r="H60" s="55"/>
      <c r="I60" s="55"/>
      <c r="J60" s="55"/>
      <c r="K60" s="43"/>
    </row>
    <row r="61" spans="1:11">
      <c r="A61" s="55"/>
      <c r="B61" s="55"/>
      <c r="C61" s="55"/>
      <c r="D61" s="73" t="s">
        <v>25</v>
      </c>
      <c r="E61" s="306" t="s">
        <v>26</v>
      </c>
      <c r="F61" s="307"/>
      <c r="G61" s="306" t="s">
        <v>27</v>
      </c>
      <c r="H61" s="307"/>
      <c r="I61" s="55"/>
      <c r="J61" s="55"/>
      <c r="K61" s="43"/>
    </row>
    <row r="62" spans="1:11">
      <c r="A62" s="55"/>
      <c r="B62" s="55"/>
      <c r="C62" s="55"/>
      <c r="D62" s="74" t="s">
        <v>28</v>
      </c>
      <c r="E62" s="96" t="s">
        <v>29</v>
      </c>
      <c r="F62" s="96" t="s">
        <v>30</v>
      </c>
      <c r="G62" s="78" t="s">
        <v>29</v>
      </c>
      <c r="H62" s="78" t="s">
        <v>30</v>
      </c>
      <c r="I62" s="55"/>
      <c r="J62" s="55"/>
      <c r="K62" s="43"/>
    </row>
    <row r="63" spans="1:11" s="105" customFormat="1" ht="12">
      <c r="A63" s="55"/>
      <c r="B63" s="55"/>
      <c r="C63" s="55"/>
      <c r="D63" s="90" t="s">
        <v>31</v>
      </c>
      <c r="E63" s="91">
        <f>Comparativos!$BA$13</f>
        <v>123.39</v>
      </c>
      <c r="F63" s="92">
        <f>Comparativos!$BB$13</f>
        <v>4</v>
      </c>
      <c r="G63" s="93">
        <f>ENE!$G$46</f>
        <v>417.87</v>
      </c>
      <c r="H63" s="98">
        <f>ENE!$H$55</f>
        <v>8</v>
      </c>
      <c r="I63" s="55"/>
      <c r="J63" s="55"/>
      <c r="K63" s="55"/>
    </row>
    <row r="64" spans="1:11">
      <c r="A64" s="55"/>
      <c r="B64" s="55"/>
      <c r="C64" s="55"/>
      <c r="D64" s="90" t="s">
        <v>33</v>
      </c>
      <c r="E64" s="104">
        <f>Comparativos!$BA$14</f>
        <v>176.79</v>
      </c>
      <c r="F64" s="101">
        <f>Comparativos!$BB$14</f>
        <v>6</v>
      </c>
      <c r="G64" s="100">
        <f>FEB!$G$48</f>
        <v>127.8</v>
      </c>
      <c r="H64" s="101">
        <f>FEB!$H$57</f>
        <v>2</v>
      </c>
      <c r="I64" s="55"/>
      <c r="J64" s="55"/>
      <c r="K64" s="43"/>
    </row>
    <row r="65" spans="1:11">
      <c r="A65" s="55"/>
      <c r="B65" s="55"/>
      <c r="C65" s="55"/>
      <c r="D65" s="90" t="s">
        <v>35</v>
      </c>
      <c r="E65" s="104">
        <f>Comparativos!$BA$15</f>
        <v>370.56</v>
      </c>
      <c r="F65" s="101">
        <f>Comparativos!$BB$15</f>
        <v>11</v>
      </c>
      <c r="G65" s="100">
        <f>MAR!$G$43</f>
        <v>78.06</v>
      </c>
      <c r="H65" s="101">
        <f>MAR!$H$51</f>
        <v>2</v>
      </c>
      <c r="I65" s="55"/>
      <c r="J65" s="55"/>
      <c r="K65" s="43"/>
    </row>
    <row r="66" spans="1:11">
      <c r="A66" s="55"/>
      <c r="B66" s="55"/>
      <c r="C66" s="55"/>
      <c r="D66" s="90" t="s">
        <v>37</v>
      </c>
      <c r="E66" s="104">
        <f>Comparativos!$BA$16</f>
        <v>201.99</v>
      </c>
      <c r="F66" s="101">
        <f>Comparativos!$BB$16</f>
        <v>8</v>
      </c>
      <c r="G66" s="100">
        <f>ABR!$G$41</f>
        <v>0</v>
      </c>
      <c r="H66" s="101">
        <f>ABR!$H$50</f>
        <v>0</v>
      </c>
      <c r="I66" s="55"/>
      <c r="J66" s="55"/>
      <c r="K66" s="43"/>
    </row>
    <row r="67" spans="1:11">
      <c r="A67" s="55"/>
      <c r="B67" s="55"/>
      <c r="C67" s="55"/>
      <c r="D67" s="94" t="s">
        <v>39</v>
      </c>
      <c r="E67" s="76">
        <f>Comparativos!$BA$17</f>
        <v>60.9</v>
      </c>
      <c r="F67" s="102">
        <f>Comparativos!$BB$17</f>
        <v>2</v>
      </c>
      <c r="G67" s="95">
        <f>G44</f>
        <v>0</v>
      </c>
      <c r="H67" s="102">
        <f>MAY!H52</f>
        <v>0</v>
      </c>
      <c r="I67" s="55"/>
      <c r="J67" s="55"/>
      <c r="K67" s="43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43"/>
    </row>
    <row r="69" spans="1:11">
      <c r="A69" s="55"/>
      <c r="B69" s="55"/>
      <c r="C69" s="55"/>
      <c r="D69" s="55"/>
      <c r="E69" s="79">
        <f>SUM(E63:E68)</f>
        <v>933.63</v>
      </c>
      <c r="F69" s="80">
        <f>SUM(F63:F68)</f>
        <v>31</v>
      </c>
      <c r="G69" s="79">
        <f>SUM(G63:G67)</f>
        <v>623.73</v>
      </c>
      <c r="H69" s="80">
        <f>SUM(H63:H67)</f>
        <v>12</v>
      </c>
      <c r="I69" s="55"/>
      <c r="J69" s="55"/>
      <c r="K69" s="43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1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1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1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1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1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1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>
      <c r="A81" s="43"/>
      <c r="B81" s="43"/>
      <c r="C81" s="43"/>
      <c r="D81" s="43"/>
      <c r="E81" s="43"/>
      <c r="F81" s="43"/>
      <c r="G81" s="43"/>
      <c r="H81" s="43"/>
      <c r="I81" s="43"/>
      <c r="J81" s="43"/>
    </row>
    <row r="82" spans="1:10">
      <c r="A82" s="43"/>
      <c r="B82" s="43"/>
      <c r="C82" s="43"/>
      <c r="D82" s="43"/>
      <c r="E82" s="43"/>
      <c r="F82" s="43"/>
      <c r="G82" s="43"/>
      <c r="H82" s="43"/>
      <c r="I82" s="43"/>
      <c r="J82" s="43"/>
    </row>
    <row r="83" spans="1:10">
      <c r="A83" s="43"/>
      <c r="B83" s="43"/>
      <c r="C83" s="43"/>
      <c r="D83" s="43"/>
      <c r="E83" s="43"/>
      <c r="F83" s="43"/>
      <c r="G83" s="43"/>
      <c r="H83" s="43"/>
      <c r="I83" s="43"/>
      <c r="J83" s="43"/>
    </row>
  </sheetData>
  <mergeCells count="117">
    <mergeCell ref="F36:G36"/>
    <mergeCell ref="F38:G38"/>
    <mergeCell ref="H41:I41"/>
    <mergeCell ref="D44:E44"/>
    <mergeCell ref="H26:J26"/>
    <mergeCell ref="D22:E22"/>
    <mergeCell ref="F22:G22"/>
    <mergeCell ref="D30:E30"/>
    <mergeCell ref="F30:G30"/>
    <mergeCell ref="D35:E35"/>
    <mergeCell ref="D26:E26"/>
    <mergeCell ref="H39:I39"/>
    <mergeCell ref="F26:G26"/>
    <mergeCell ref="H36:I36"/>
    <mergeCell ref="D32:E32"/>
    <mergeCell ref="H29:J29"/>
    <mergeCell ref="D29:E29"/>
    <mergeCell ref="F29:G29"/>
    <mergeCell ref="D34:E34"/>
    <mergeCell ref="H34:I34"/>
    <mergeCell ref="H38:I38"/>
    <mergeCell ref="D23:E23"/>
    <mergeCell ref="F34:G34"/>
    <mergeCell ref="F33:G33"/>
    <mergeCell ref="H40:J40"/>
    <mergeCell ref="F54:G54"/>
    <mergeCell ref="E50:F50"/>
    <mergeCell ref="C50:D50"/>
    <mergeCell ref="F41:G41"/>
    <mergeCell ref="E47:F47"/>
    <mergeCell ref="D37:E37"/>
    <mergeCell ref="F37:G37"/>
    <mergeCell ref="D38:E38"/>
    <mergeCell ref="D40:E40"/>
    <mergeCell ref="F40:G40"/>
    <mergeCell ref="D39:E39"/>
    <mergeCell ref="F39:G39"/>
    <mergeCell ref="E48:F48"/>
    <mergeCell ref="E49:F49"/>
    <mergeCell ref="C49:D49"/>
    <mergeCell ref="C48:D48"/>
    <mergeCell ref="E46:F46"/>
    <mergeCell ref="C46:D46"/>
    <mergeCell ref="F42:G42"/>
    <mergeCell ref="D41:E41"/>
    <mergeCell ref="F21:G21"/>
    <mergeCell ref="F35:G35"/>
    <mergeCell ref="E59:H59"/>
    <mergeCell ref="E61:F61"/>
    <mergeCell ref="G61:H61"/>
    <mergeCell ref="C51:D51"/>
    <mergeCell ref="E51:F51"/>
    <mergeCell ref="E52:F52"/>
    <mergeCell ref="D28:E28"/>
    <mergeCell ref="F57:G57"/>
    <mergeCell ref="F28:G28"/>
    <mergeCell ref="H28:J28"/>
    <mergeCell ref="D33:E33"/>
    <mergeCell ref="H33:J33"/>
    <mergeCell ref="C56:E56"/>
    <mergeCell ref="C54:E54"/>
    <mergeCell ref="D31:E31"/>
    <mergeCell ref="F31:G31"/>
    <mergeCell ref="H37:I37"/>
    <mergeCell ref="H35:I35"/>
    <mergeCell ref="F56:G56"/>
    <mergeCell ref="C47:D47"/>
    <mergeCell ref="F55:G55"/>
    <mergeCell ref="C55:E55"/>
    <mergeCell ref="F14:G14"/>
    <mergeCell ref="D36:E36"/>
    <mergeCell ref="F13:G13"/>
    <mergeCell ref="F32:G32"/>
    <mergeCell ref="H32:J32"/>
    <mergeCell ref="D16:E16"/>
    <mergeCell ref="F16:G16"/>
    <mergeCell ref="H16:J16"/>
    <mergeCell ref="H22:J22"/>
    <mergeCell ref="D15:E15"/>
    <mergeCell ref="H21:J21"/>
    <mergeCell ref="D20:E20"/>
    <mergeCell ref="F15:G15"/>
    <mergeCell ref="D17:E17"/>
    <mergeCell ref="F17:G17"/>
    <mergeCell ref="H17:J17"/>
    <mergeCell ref="D18:E18"/>
    <mergeCell ref="D19:E19"/>
    <mergeCell ref="F19:G19"/>
    <mergeCell ref="H19:J19"/>
    <mergeCell ref="H30:J30"/>
    <mergeCell ref="H18:J18"/>
    <mergeCell ref="F18:G18"/>
    <mergeCell ref="D21:E21"/>
    <mergeCell ref="D13:E13"/>
    <mergeCell ref="D27:E27"/>
    <mergeCell ref="E7:H7"/>
    <mergeCell ref="D24:E24"/>
    <mergeCell ref="F24:G24"/>
    <mergeCell ref="H24:J24"/>
    <mergeCell ref="D25:E25"/>
    <mergeCell ref="H31:J31"/>
    <mergeCell ref="F25:G25"/>
    <mergeCell ref="H25:J25"/>
    <mergeCell ref="F27:G27"/>
    <mergeCell ref="H27:J27"/>
    <mergeCell ref="D10:E10"/>
    <mergeCell ref="F10:G10"/>
    <mergeCell ref="D11:E11"/>
    <mergeCell ref="F11:G11"/>
    <mergeCell ref="H10:J10"/>
    <mergeCell ref="F23:G23"/>
    <mergeCell ref="H23:J23"/>
    <mergeCell ref="F20:G20"/>
    <mergeCell ref="H20:J20"/>
    <mergeCell ref="D12:E12"/>
    <mergeCell ref="F12:G12"/>
    <mergeCell ref="D14:E14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8"/>
  <sheetViews>
    <sheetView showGridLines="0" topLeftCell="A21" zoomScaleNormal="100" workbookViewId="0">
      <selection activeCell="F49" sqref="F49:G49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2" t="s">
        <v>2</v>
      </c>
      <c r="F7" s="302"/>
      <c r="G7" s="302"/>
      <c r="H7" s="302"/>
      <c r="I7" s="84" t="s">
        <v>40</v>
      </c>
      <c r="J7" s="85">
        <f>CARÁT!$F$16</f>
        <v>2024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55"/>
    </row>
    <row r="11" spans="1:11">
      <c r="A11" s="41"/>
      <c r="B11" s="41">
        <v>20</v>
      </c>
      <c r="C11" s="46">
        <v>45468</v>
      </c>
      <c r="D11" s="362" t="s">
        <v>9</v>
      </c>
      <c r="E11" s="362"/>
      <c r="F11" s="305">
        <v>32460</v>
      </c>
      <c r="G11" s="305"/>
      <c r="H11" s="47" t="s">
        <v>10</v>
      </c>
      <c r="I11" s="47"/>
      <c r="J11" s="47"/>
      <c r="K11" s="55"/>
    </row>
    <row r="12" spans="1:11">
      <c r="A12" s="41"/>
      <c r="B12" s="41"/>
      <c r="C12" s="46"/>
      <c r="D12" s="363"/>
      <c r="E12" s="363"/>
      <c r="F12" s="305"/>
      <c r="G12" s="305"/>
      <c r="H12" s="47"/>
      <c r="I12" s="47"/>
      <c r="J12" s="47"/>
      <c r="K12" s="55"/>
    </row>
    <row r="13" spans="1:11">
      <c r="A13" s="41"/>
      <c r="B13" s="41"/>
      <c r="C13" s="46"/>
      <c r="D13" s="363"/>
      <c r="E13" s="363"/>
      <c r="F13" s="305"/>
      <c r="G13" s="305"/>
      <c r="H13" s="303"/>
      <c r="I13" s="303"/>
      <c r="J13" s="303"/>
      <c r="K13" s="55"/>
    </row>
    <row r="14" spans="1:11">
      <c r="A14" s="41"/>
      <c r="B14" s="41"/>
      <c r="C14" s="46"/>
      <c r="D14" s="363"/>
      <c r="E14" s="363"/>
      <c r="F14" s="305"/>
      <c r="G14" s="305"/>
      <c r="H14" s="303"/>
      <c r="I14" s="303"/>
      <c r="J14" s="303"/>
      <c r="K14" s="55"/>
    </row>
    <row r="15" spans="1:11">
      <c r="A15" s="41"/>
      <c r="B15" s="41"/>
      <c r="C15" s="46"/>
      <c r="D15" s="363"/>
      <c r="E15" s="363"/>
      <c r="F15" s="305"/>
      <c r="G15" s="305"/>
      <c r="H15" s="303"/>
      <c r="I15" s="303"/>
      <c r="J15" s="303"/>
      <c r="K15" s="55"/>
    </row>
    <row r="16" spans="1:11">
      <c r="A16" s="41"/>
      <c r="B16" s="41"/>
      <c r="C16" s="46"/>
      <c r="D16" s="363"/>
      <c r="E16" s="363"/>
      <c r="F16" s="304"/>
      <c r="G16" s="304"/>
      <c r="H16" s="303"/>
      <c r="I16" s="303"/>
      <c r="J16" s="303"/>
      <c r="K16" s="55"/>
    </row>
    <row r="17" spans="1:11">
      <c r="A17" s="41"/>
      <c r="B17" s="41"/>
      <c r="C17" s="46"/>
      <c r="D17" s="363"/>
      <c r="E17" s="363"/>
      <c r="F17" s="304"/>
      <c r="G17" s="304"/>
      <c r="H17" s="303"/>
      <c r="I17" s="303"/>
      <c r="J17" s="303"/>
      <c r="K17" s="55"/>
    </row>
    <row r="18" spans="1:11">
      <c r="A18" s="41"/>
      <c r="B18" s="41"/>
      <c r="C18" s="46"/>
      <c r="D18" s="363"/>
      <c r="E18" s="363"/>
      <c r="F18" s="304"/>
      <c r="G18" s="304"/>
      <c r="H18" s="303"/>
      <c r="I18" s="303"/>
      <c r="J18" s="303"/>
      <c r="K18" s="55"/>
    </row>
    <row r="19" spans="1:11">
      <c r="A19" s="41"/>
      <c r="B19" s="41"/>
      <c r="C19" s="46"/>
      <c r="D19" s="363"/>
      <c r="E19" s="363"/>
      <c r="F19" s="304"/>
      <c r="G19" s="304"/>
      <c r="H19" s="303"/>
      <c r="I19" s="303"/>
      <c r="J19" s="303"/>
      <c r="K19" s="55"/>
    </row>
    <row r="20" spans="1:11">
      <c r="A20" s="41"/>
      <c r="B20" s="41"/>
      <c r="C20" s="46"/>
      <c r="D20" s="363"/>
      <c r="E20" s="363"/>
      <c r="F20" s="304"/>
      <c r="G20" s="304"/>
      <c r="H20" s="303"/>
      <c r="I20" s="303"/>
      <c r="J20" s="303"/>
      <c r="K20" s="55"/>
    </row>
    <row r="21" spans="1:11">
      <c r="A21" s="41"/>
      <c r="B21" s="41"/>
      <c r="C21" s="46"/>
      <c r="D21" s="363"/>
      <c r="E21" s="363"/>
      <c r="F21" s="304"/>
      <c r="G21" s="304"/>
      <c r="H21" s="303"/>
      <c r="I21" s="303"/>
      <c r="J21" s="303"/>
      <c r="K21" s="55"/>
    </row>
    <row r="22" spans="1:11">
      <c r="A22" s="41"/>
      <c r="B22" s="41"/>
      <c r="C22" s="46"/>
      <c r="D22" s="363"/>
      <c r="E22" s="363"/>
      <c r="F22" s="304"/>
      <c r="G22" s="304"/>
      <c r="H22" s="303"/>
      <c r="I22" s="303"/>
      <c r="J22" s="303"/>
      <c r="K22" s="55"/>
    </row>
    <row r="23" spans="1:11">
      <c r="A23" s="41"/>
      <c r="B23" s="41"/>
      <c r="C23" s="46"/>
      <c r="D23" s="363"/>
      <c r="E23" s="363"/>
      <c r="F23" s="304"/>
      <c r="G23" s="304"/>
      <c r="H23" s="303"/>
      <c r="I23" s="303"/>
      <c r="J23" s="303"/>
      <c r="K23" s="55"/>
    </row>
    <row r="24" spans="1:11">
      <c r="A24" s="41"/>
      <c r="B24" s="41"/>
      <c r="C24" s="46"/>
      <c r="D24" s="363"/>
      <c r="E24" s="363"/>
      <c r="F24" s="304"/>
      <c r="G24" s="304"/>
      <c r="H24" s="303"/>
      <c r="I24" s="303"/>
      <c r="J24" s="303"/>
      <c r="K24" s="55"/>
    </row>
    <row r="25" spans="1:11">
      <c r="A25" s="41"/>
      <c r="B25" s="41"/>
      <c r="C25" s="46"/>
      <c r="D25" s="303"/>
      <c r="E25" s="303"/>
      <c r="F25" s="304"/>
      <c r="G25" s="304"/>
      <c r="H25" s="303"/>
      <c r="I25" s="303"/>
      <c r="J25" s="303"/>
      <c r="K25" s="55"/>
    </row>
    <row r="26" spans="1:11">
      <c r="A26" s="41"/>
      <c r="B26" s="41"/>
      <c r="C26" s="46"/>
      <c r="D26" s="303"/>
      <c r="E26" s="303"/>
      <c r="F26" s="304"/>
      <c r="G26" s="304"/>
      <c r="H26" s="303"/>
      <c r="I26" s="303"/>
      <c r="J26" s="303"/>
      <c r="K26" s="55"/>
    </row>
    <row r="27" spans="1:11">
      <c r="A27" s="41"/>
      <c r="B27" s="41"/>
      <c r="C27" s="46"/>
      <c r="D27" s="303"/>
      <c r="E27" s="303"/>
      <c r="F27" s="304"/>
      <c r="G27" s="304"/>
      <c r="H27" s="303"/>
      <c r="I27" s="303"/>
      <c r="J27" s="303"/>
      <c r="K27" s="55"/>
    </row>
    <row r="28" spans="1:11">
      <c r="A28" s="41"/>
      <c r="B28" s="41"/>
      <c r="C28" s="46"/>
      <c r="D28" s="303"/>
      <c r="E28" s="303"/>
      <c r="F28" s="304"/>
      <c r="G28" s="304"/>
      <c r="H28" s="303"/>
      <c r="I28" s="303"/>
      <c r="J28" s="303"/>
      <c r="K28" s="55"/>
    </row>
    <row r="29" spans="1:11">
      <c r="A29" s="41"/>
      <c r="B29" s="41"/>
      <c r="C29" s="46"/>
      <c r="D29" s="303"/>
      <c r="E29" s="303"/>
      <c r="F29" s="304"/>
      <c r="G29" s="304"/>
      <c r="H29" s="303"/>
      <c r="I29" s="303"/>
      <c r="J29" s="303"/>
      <c r="K29" s="55"/>
    </row>
    <row r="30" spans="1:11">
      <c r="A30" s="41"/>
      <c r="B30" s="41"/>
      <c r="C30" s="46"/>
      <c r="D30" s="363"/>
      <c r="E30" s="363"/>
      <c r="F30" s="304"/>
      <c r="G30" s="304"/>
      <c r="H30" s="303"/>
      <c r="I30" s="303"/>
      <c r="J30" s="303"/>
      <c r="K30" s="55"/>
    </row>
    <row r="31" spans="1:11">
      <c r="A31" s="41"/>
      <c r="B31" s="41"/>
      <c r="C31" s="51"/>
      <c r="D31" s="52"/>
      <c r="E31" s="52"/>
      <c r="F31" s="329">
        <f>SUM(F11:G30)</f>
        <v>32460</v>
      </c>
      <c r="G31" s="330"/>
      <c r="H31" s="53"/>
      <c r="I31" s="53"/>
      <c r="J31" s="53"/>
      <c r="K31" s="55"/>
    </row>
    <row r="32" spans="1:11">
      <c r="A32" s="41"/>
      <c r="B32" s="41"/>
      <c r="C32" s="55"/>
      <c r="D32" s="55"/>
      <c r="E32" s="56"/>
      <c r="F32" s="55"/>
      <c r="G32" s="55"/>
      <c r="H32" s="55"/>
      <c r="I32" s="55"/>
      <c r="J32" s="55"/>
      <c r="K32" s="55"/>
    </row>
    <row r="33" spans="1:11">
      <c r="A33" s="41"/>
      <c r="B33" s="41"/>
      <c r="C33" s="55"/>
      <c r="D33" s="319" t="s">
        <v>14</v>
      </c>
      <c r="E33" s="319"/>
      <c r="F33" s="55"/>
      <c r="G33" s="58">
        <f>F31/1000</f>
        <v>32.46</v>
      </c>
      <c r="H33" s="55"/>
      <c r="I33" s="54"/>
      <c r="J33" s="55"/>
      <c r="K33" s="55"/>
    </row>
    <row r="34" spans="1:11">
      <c r="A34" s="41"/>
      <c r="B34" s="41"/>
      <c r="C34" s="55"/>
      <c r="D34" s="55"/>
      <c r="E34" s="56"/>
      <c r="F34" s="55"/>
      <c r="G34" s="55"/>
      <c r="H34" s="55"/>
      <c r="I34" s="55"/>
      <c r="J34" s="55"/>
      <c r="K34" s="55"/>
    </row>
    <row r="35" spans="1:11">
      <c r="A35" s="41"/>
      <c r="B35" s="41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41"/>
      <c r="B36" s="41"/>
      <c r="C36" s="317" t="s">
        <v>15</v>
      </c>
      <c r="D36" s="317"/>
      <c r="E36" s="317" t="s">
        <v>16</v>
      </c>
      <c r="F36" s="317"/>
      <c r="G36" s="59" t="s">
        <v>17</v>
      </c>
      <c r="H36" s="59" t="s">
        <v>18</v>
      </c>
      <c r="I36" s="55"/>
      <c r="J36" s="55"/>
      <c r="K36" s="55"/>
    </row>
    <row r="37" spans="1:11">
      <c r="A37" s="41"/>
      <c r="B37" s="41"/>
      <c r="C37" s="303" t="s">
        <v>20</v>
      </c>
      <c r="D37" s="303"/>
      <c r="E37" s="304">
        <f>F11</f>
        <v>32460</v>
      </c>
      <c r="F37" s="304"/>
      <c r="G37" s="61">
        <f>+E37/E42</f>
        <v>1</v>
      </c>
      <c r="H37" s="62">
        <v>1</v>
      </c>
      <c r="I37" s="55"/>
      <c r="J37" s="55"/>
      <c r="K37" s="55"/>
    </row>
    <row r="38" spans="1:11">
      <c r="A38" s="41"/>
      <c r="B38" s="41"/>
      <c r="C38" s="303"/>
      <c r="D38" s="303"/>
      <c r="E38" s="304"/>
      <c r="F38" s="304"/>
      <c r="G38" s="61">
        <f>+E38/E42</f>
        <v>0</v>
      </c>
      <c r="H38" s="62"/>
      <c r="I38" s="55"/>
      <c r="J38" s="55"/>
      <c r="K38" s="55"/>
    </row>
    <row r="39" spans="1:11">
      <c r="A39" s="41"/>
      <c r="B39" s="41"/>
      <c r="C39" s="303"/>
      <c r="D39" s="303"/>
      <c r="E39" s="304"/>
      <c r="F39" s="304"/>
      <c r="G39" s="61">
        <f>+E39/E42</f>
        <v>0</v>
      </c>
      <c r="H39" s="62"/>
      <c r="I39" s="55"/>
      <c r="J39" s="55"/>
      <c r="K39" s="55"/>
    </row>
    <row r="40" spans="1:11">
      <c r="A40" s="41"/>
      <c r="B40" s="41"/>
      <c r="C40" s="303"/>
      <c r="D40" s="303"/>
      <c r="E40" s="304"/>
      <c r="F40" s="304"/>
      <c r="G40" s="61">
        <f>+E40/E42</f>
        <v>0</v>
      </c>
      <c r="H40" s="62"/>
      <c r="I40" s="55"/>
      <c r="J40" s="55"/>
      <c r="K40" s="55"/>
    </row>
    <row r="41" spans="1:11">
      <c r="A41" s="41"/>
      <c r="B41" s="41"/>
      <c r="C41" s="303"/>
      <c r="D41" s="303"/>
      <c r="E41" s="304"/>
      <c r="F41" s="304"/>
      <c r="G41" s="61">
        <f>+E41/E42</f>
        <v>0</v>
      </c>
      <c r="H41" s="62"/>
      <c r="I41" s="55"/>
      <c r="J41" s="55"/>
      <c r="K41" s="55"/>
    </row>
    <row r="42" spans="1:11">
      <c r="A42" s="41"/>
      <c r="B42" s="41"/>
      <c r="C42" s="64"/>
      <c r="D42" s="57" t="s">
        <v>21</v>
      </c>
      <c r="E42" s="365">
        <f>SUM(E37:F41)</f>
        <v>32460</v>
      </c>
      <c r="F42" s="365"/>
      <c r="G42" s="65">
        <f>SUM(G37:G41)</f>
        <v>1</v>
      </c>
      <c r="H42" s="66">
        <f>SUM(H37:H41)</f>
        <v>1</v>
      </c>
      <c r="I42" s="55"/>
      <c r="J42" s="55"/>
      <c r="K42" s="55"/>
    </row>
    <row r="43" spans="1:11">
      <c r="A43" s="41"/>
      <c r="B43" s="41"/>
      <c r="C43" s="67"/>
      <c r="D43" s="67"/>
      <c r="E43" s="52"/>
      <c r="F43" s="52"/>
      <c r="G43" s="52"/>
      <c r="H43" s="55"/>
      <c r="I43" s="55"/>
      <c r="J43" s="55"/>
      <c r="K43" s="55"/>
    </row>
    <row r="44" spans="1:11">
      <c r="A44" s="41"/>
      <c r="B44" s="41"/>
      <c r="C44" s="55"/>
      <c r="D44" s="55"/>
      <c r="E44" s="54"/>
      <c r="F44" s="69"/>
      <c r="G44" s="70"/>
      <c r="H44" s="55"/>
      <c r="I44" s="55"/>
      <c r="J44" s="55"/>
      <c r="K44" s="55"/>
    </row>
    <row r="45" spans="1:11">
      <c r="A45" s="41"/>
      <c r="B45" s="41"/>
      <c r="C45" s="68"/>
      <c r="D45" s="55"/>
      <c r="E45" s="54"/>
      <c r="F45" s="69"/>
      <c r="G45" s="70"/>
      <c r="H45" s="55"/>
      <c r="I45" s="55"/>
      <c r="J45" s="55"/>
      <c r="K45" s="55"/>
    </row>
    <row r="46" spans="1:11">
      <c r="A46" s="41"/>
      <c r="B46" s="41"/>
      <c r="C46" s="313" t="s">
        <v>8</v>
      </c>
      <c r="D46" s="314"/>
      <c r="E46" s="315"/>
      <c r="F46" s="316" t="s">
        <v>7</v>
      </c>
      <c r="G46" s="317"/>
      <c r="H46" s="59" t="s">
        <v>17</v>
      </c>
      <c r="I46" s="55"/>
      <c r="J46" s="55"/>
      <c r="K46" s="55"/>
    </row>
    <row r="47" spans="1:11">
      <c r="A47" s="41"/>
      <c r="B47" s="41"/>
      <c r="C47" s="303" t="s">
        <v>22</v>
      </c>
      <c r="D47" s="303"/>
      <c r="E47" s="303"/>
      <c r="F47" s="49"/>
      <c r="G47" s="49"/>
      <c r="H47" s="61">
        <f>+G47/F49</f>
        <v>0</v>
      </c>
      <c r="I47" s="55"/>
      <c r="J47" s="55"/>
      <c r="K47" s="55"/>
    </row>
    <row r="48" spans="1:11">
      <c r="A48" s="41"/>
      <c r="B48" s="41"/>
      <c r="C48" s="303" t="s">
        <v>23</v>
      </c>
      <c r="D48" s="303"/>
      <c r="E48" s="303"/>
      <c r="F48" s="49"/>
      <c r="G48" s="49">
        <f>F31</f>
        <v>32460</v>
      </c>
      <c r="H48" s="61">
        <f>+G48/F49</f>
        <v>1</v>
      </c>
      <c r="I48" s="55"/>
      <c r="J48" s="54"/>
      <c r="K48" s="55"/>
    </row>
    <row r="49" spans="1:11">
      <c r="A49" s="41"/>
      <c r="B49" s="41"/>
      <c r="C49" s="55"/>
      <c r="D49" s="55" t="s">
        <v>21</v>
      </c>
      <c r="E49" s="55"/>
      <c r="F49" s="308">
        <f>SUM(F47:G48)</f>
        <v>32460</v>
      </c>
      <c r="G49" s="308"/>
      <c r="H49" s="65">
        <f>SUM(H47:H48)</f>
        <v>1</v>
      </c>
      <c r="I49" s="55"/>
      <c r="J49" s="55"/>
      <c r="K49" s="55"/>
    </row>
    <row r="50" spans="1:11">
      <c r="A50" s="41"/>
      <c r="B50" s="41"/>
      <c r="C50" s="55"/>
      <c r="D50" s="55"/>
      <c r="E50" s="55"/>
      <c r="F50" s="88"/>
      <c r="G50" s="88"/>
      <c r="H50" s="89"/>
      <c r="I50" s="55"/>
      <c r="J50" s="55"/>
      <c r="K50" s="55"/>
    </row>
    <row r="51" spans="1:11">
      <c r="A51" s="41"/>
      <c r="B51" s="41"/>
      <c r="C51" s="55"/>
      <c r="D51" s="55"/>
      <c r="E51" s="55"/>
      <c r="F51" s="88"/>
      <c r="G51" s="88"/>
      <c r="H51" s="89"/>
      <c r="I51" s="55"/>
      <c r="J51" s="55"/>
      <c r="K51" s="55"/>
    </row>
    <row r="52" spans="1:11">
      <c r="A52" s="41"/>
      <c r="B52" s="41"/>
      <c r="C52" s="55"/>
      <c r="D52" s="54"/>
      <c r="E52" s="107"/>
      <c r="F52" s="55"/>
      <c r="G52" s="55"/>
      <c r="H52" s="55"/>
      <c r="I52" s="55"/>
      <c r="J52" s="55"/>
      <c r="K52" s="55"/>
    </row>
    <row r="53" spans="1:11">
      <c r="A53" s="41"/>
      <c r="B53" s="41"/>
      <c r="C53" s="55"/>
      <c r="D53" s="55"/>
      <c r="E53" s="309" t="s">
        <v>24</v>
      </c>
      <c r="F53" s="309"/>
      <c r="G53" s="309"/>
      <c r="H53" s="309"/>
      <c r="I53" s="55"/>
      <c r="J53" s="55"/>
      <c r="K53" s="55"/>
    </row>
    <row r="54" spans="1:11">
      <c r="A54" s="41"/>
      <c r="B54" s="41"/>
      <c r="C54" s="55"/>
      <c r="D54" s="108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109" t="s">
        <v>25</v>
      </c>
      <c r="E55" s="336" t="s">
        <v>26</v>
      </c>
      <c r="F55" s="337"/>
      <c r="G55" s="336" t="s">
        <v>27</v>
      </c>
      <c r="H55" s="337"/>
      <c r="I55" s="55"/>
      <c r="J55" s="55"/>
      <c r="K55" s="55"/>
    </row>
    <row r="56" spans="1:11">
      <c r="A56" s="55"/>
      <c r="B56" s="55"/>
      <c r="C56" s="55"/>
      <c r="D56" s="110" t="s">
        <v>28</v>
      </c>
      <c r="E56" s="118" t="s">
        <v>29</v>
      </c>
      <c r="F56" s="118" t="s">
        <v>30</v>
      </c>
      <c r="G56" s="119" t="s">
        <v>29</v>
      </c>
      <c r="H56" s="119" t="s">
        <v>30</v>
      </c>
      <c r="I56" s="55"/>
      <c r="J56" s="55"/>
      <c r="K56" s="55"/>
    </row>
    <row r="57" spans="1:11">
      <c r="A57" s="55"/>
      <c r="B57" s="55"/>
      <c r="C57" s="55"/>
      <c r="D57" s="90" t="s">
        <v>31</v>
      </c>
      <c r="E57" s="91">
        <f>Comparativos!$BA$13</f>
        <v>123.39</v>
      </c>
      <c r="F57" s="111">
        <f>Comparativos!$BB$13</f>
        <v>4</v>
      </c>
      <c r="G57" s="93">
        <f>ENE!$G$46</f>
        <v>417.87</v>
      </c>
      <c r="H57" s="98">
        <f>ENE!$H$55</f>
        <v>8</v>
      </c>
      <c r="I57" s="55"/>
      <c r="J57" s="55"/>
      <c r="K57" s="55"/>
    </row>
    <row r="58" spans="1:11">
      <c r="A58" s="55"/>
      <c r="B58" s="55"/>
      <c r="C58" s="55"/>
      <c r="D58" s="90" t="s">
        <v>33</v>
      </c>
      <c r="E58" s="104">
        <f>Comparativos!$BA$14</f>
        <v>176.79</v>
      </c>
      <c r="F58" s="112">
        <f>Comparativos!$BB$14</f>
        <v>6</v>
      </c>
      <c r="G58" s="100">
        <f>FEB!$G$48</f>
        <v>127.8</v>
      </c>
      <c r="H58" s="101">
        <f>FEB!$H$57</f>
        <v>2</v>
      </c>
      <c r="I58" s="55"/>
      <c r="J58" s="55"/>
      <c r="K58" s="55"/>
    </row>
    <row r="59" spans="1:11">
      <c r="A59" s="55"/>
      <c r="B59" s="55"/>
      <c r="C59" s="55"/>
      <c r="D59" s="90" t="s">
        <v>35</v>
      </c>
      <c r="E59" s="104">
        <f>Comparativos!$BA$15</f>
        <v>370.56</v>
      </c>
      <c r="F59" s="112">
        <f>Comparativos!$BB$15</f>
        <v>11</v>
      </c>
      <c r="G59" s="100">
        <f>MAR!$G$43</f>
        <v>78.06</v>
      </c>
      <c r="H59" s="101">
        <f>MAR!$H$51</f>
        <v>2</v>
      </c>
      <c r="I59" s="55"/>
      <c r="J59" s="55"/>
      <c r="K59" s="55"/>
    </row>
    <row r="60" spans="1:11">
      <c r="A60" s="55"/>
      <c r="B60" s="55"/>
      <c r="C60" s="55"/>
      <c r="D60" s="90" t="s">
        <v>37</v>
      </c>
      <c r="E60" s="104">
        <f>Comparativos!$BA$16</f>
        <v>201.99</v>
      </c>
      <c r="F60" s="112">
        <f>Comparativos!$BB$16</f>
        <v>8</v>
      </c>
      <c r="G60" s="100">
        <f>ABR!$G$41</f>
        <v>0</v>
      </c>
      <c r="H60" s="101">
        <f>ABR!$H$50</f>
        <v>0</v>
      </c>
      <c r="I60" s="55"/>
      <c r="J60" s="55"/>
      <c r="K60" s="55"/>
    </row>
    <row r="61" spans="1:11">
      <c r="A61" s="55"/>
      <c r="B61" s="55"/>
      <c r="C61" s="55"/>
      <c r="D61" s="90" t="s">
        <v>39</v>
      </c>
      <c r="E61" s="99">
        <f>Comparativos!$BA$17</f>
        <v>60.9</v>
      </c>
      <c r="F61" s="112">
        <f>Comparativos!$BB$17</f>
        <v>2</v>
      </c>
      <c r="G61" s="54">
        <f>MAY!$G$44</f>
        <v>0</v>
      </c>
      <c r="H61" s="113">
        <f>MAY!$H$52</f>
        <v>0</v>
      </c>
      <c r="I61" s="55"/>
      <c r="J61" s="55"/>
      <c r="K61" s="55"/>
    </row>
    <row r="62" spans="1:11">
      <c r="A62" s="55"/>
      <c r="B62" s="55"/>
      <c r="C62" s="55"/>
      <c r="D62" s="94" t="s">
        <v>41</v>
      </c>
      <c r="E62" s="114">
        <f>Comparativos!$BA$18</f>
        <v>0</v>
      </c>
      <c r="F62" s="115">
        <f>Comparativos!$BB$18</f>
        <v>0</v>
      </c>
      <c r="G62" s="116">
        <f>G33</f>
        <v>32.46</v>
      </c>
      <c r="H62" s="117">
        <f>H42</f>
        <v>1</v>
      </c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79">
        <f>SUM(E57:E63)</f>
        <v>933.63</v>
      </c>
      <c r="F64" s="80">
        <f>SUM(F57:F63)</f>
        <v>31</v>
      </c>
      <c r="G64" s="79">
        <f>SUM(G57:G62)</f>
        <v>656.19</v>
      </c>
      <c r="H64" s="80">
        <f>SUM(H57:H62)</f>
        <v>13</v>
      </c>
      <c r="I64" s="55"/>
      <c r="J64" s="55"/>
      <c r="K64" s="55"/>
    </row>
    <row r="65" spans="1:10">
      <c r="A65" s="55"/>
      <c r="B65" s="55"/>
      <c r="C65" s="55"/>
      <c r="D65" s="55"/>
      <c r="E65" s="55"/>
      <c r="F65" s="55"/>
      <c r="G65" s="55"/>
      <c r="H65" s="55"/>
      <c r="I65" s="55"/>
      <c r="J65" s="55"/>
    </row>
    <row r="66" spans="1:10">
      <c r="A66" s="55"/>
      <c r="B66" s="55"/>
      <c r="C66" s="55"/>
      <c r="D66" s="55"/>
      <c r="E66" s="55"/>
      <c r="F66" s="55"/>
      <c r="G66" s="55"/>
      <c r="H66" s="54"/>
      <c r="I66" s="55"/>
      <c r="J66" s="55"/>
    </row>
    <row r="67" spans="1:10">
      <c r="A67" s="55"/>
      <c r="B67" s="55"/>
      <c r="C67" s="55"/>
      <c r="D67" s="55"/>
      <c r="E67" s="55"/>
      <c r="F67" s="55"/>
      <c r="G67" s="55"/>
      <c r="H67" s="55"/>
      <c r="I67" s="55"/>
      <c r="J67" s="55"/>
    </row>
    <row r="68" spans="1:10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0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0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0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0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10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10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10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0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0">
      <c r="A77" s="55"/>
      <c r="B77" s="55"/>
      <c r="C77" s="55"/>
      <c r="D77" s="55"/>
      <c r="E77" s="55"/>
      <c r="F77" s="55"/>
      <c r="G77" s="55"/>
      <c r="H77" s="55"/>
      <c r="I77" s="55"/>
      <c r="J77" s="55"/>
    </row>
    <row r="78" spans="1:10">
      <c r="A78" s="55"/>
      <c r="B78" s="55"/>
      <c r="C78" s="55"/>
      <c r="D78" s="55"/>
      <c r="E78" s="55"/>
      <c r="F78" s="55"/>
      <c r="G78" s="55"/>
      <c r="H78" s="55"/>
      <c r="I78" s="55"/>
      <c r="J78" s="55"/>
    </row>
  </sheetData>
  <mergeCells count="85">
    <mergeCell ref="H25:J25"/>
    <mergeCell ref="D28:E28"/>
    <mergeCell ref="F28:G28"/>
    <mergeCell ref="H28:J28"/>
    <mergeCell ref="D26:E26"/>
    <mergeCell ref="F26:G26"/>
    <mergeCell ref="H26:J26"/>
    <mergeCell ref="D27:E27"/>
    <mergeCell ref="F27:G27"/>
    <mergeCell ref="H27:J27"/>
    <mergeCell ref="H30:J30"/>
    <mergeCell ref="D29:E29"/>
    <mergeCell ref="F29:G29"/>
    <mergeCell ref="H29:J29"/>
    <mergeCell ref="C48:E48"/>
    <mergeCell ref="E42:F42"/>
    <mergeCell ref="C46:E46"/>
    <mergeCell ref="F46:G46"/>
    <mergeCell ref="C47:E47"/>
    <mergeCell ref="C41:D41"/>
    <mergeCell ref="E41:F41"/>
    <mergeCell ref="C40:D40"/>
    <mergeCell ref="C39:D39"/>
    <mergeCell ref="F31:G31"/>
    <mergeCell ref="D33:E33"/>
    <mergeCell ref="E36:F36"/>
    <mergeCell ref="D21:E21"/>
    <mergeCell ref="F21:G21"/>
    <mergeCell ref="H21:J21"/>
    <mergeCell ref="D23:E23"/>
    <mergeCell ref="F23:G23"/>
    <mergeCell ref="H23:J23"/>
    <mergeCell ref="D22:E22"/>
    <mergeCell ref="F22:G22"/>
    <mergeCell ref="H22:J22"/>
    <mergeCell ref="D17:E17"/>
    <mergeCell ref="F17:G17"/>
    <mergeCell ref="H17:J17"/>
    <mergeCell ref="D16:E16"/>
    <mergeCell ref="F16:G16"/>
    <mergeCell ref="H16:J16"/>
    <mergeCell ref="H15:J15"/>
    <mergeCell ref="F13:G13"/>
    <mergeCell ref="D14:E14"/>
    <mergeCell ref="F14:G14"/>
    <mergeCell ref="D13:E13"/>
    <mergeCell ref="F49:G49"/>
    <mergeCell ref="E53:H53"/>
    <mergeCell ref="E40:F40"/>
    <mergeCell ref="E39:F39"/>
    <mergeCell ref="D10:E10"/>
    <mergeCell ref="F10:G10"/>
    <mergeCell ref="D11:E11"/>
    <mergeCell ref="F11:G11"/>
    <mergeCell ref="D12:E12"/>
    <mergeCell ref="F12:G12"/>
    <mergeCell ref="H10:J10"/>
    <mergeCell ref="H14:J14"/>
    <mergeCell ref="H13:J13"/>
    <mergeCell ref="H19:J19"/>
    <mergeCell ref="D15:E15"/>
    <mergeCell ref="F15:G15"/>
    <mergeCell ref="E7:H7"/>
    <mergeCell ref="D24:E24"/>
    <mergeCell ref="F24:G24"/>
    <mergeCell ref="C36:D36"/>
    <mergeCell ref="E55:F55"/>
    <mergeCell ref="G55:H55"/>
    <mergeCell ref="F18:G18"/>
    <mergeCell ref="H18:J18"/>
    <mergeCell ref="D20:E20"/>
    <mergeCell ref="F20:G20"/>
    <mergeCell ref="H20:J20"/>
    <mergeCell ref="D18:E18"/>
    <mergeCell ref="D19:E19"/>
    <mergeCell ref="F19:G19"/>
    <mergeCell ref="H24:J24"/>
    <mergeCell ref="E38:F38"/>
    <mergeCell ref="C38:D38"/>
    <mergeCell ref="E37:F37"/>
    <mergeCell ref="D25:E25"/>
    <mergeCell ref="D30:E30"/>
    <mergeCell ref="F30:G30"/>
    <mergeCell ref="F25:G25"/>
    <mergeCell ref="C37:D37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</sheetPr>
  <dimension ref="A1:J55"/>
  <sheetViews>
    <sheetView showGridLines="0" zoomScaleNormal="100" workbookViewId="0">
      <selection activeCell="J1" sqref="J1"/>
    </sheetView>
  </sheetViews>
  <sheetFormatPr defaultColWidth="11.42578125" defaultRowHeight="12"/>
  <cols>
    <col min="1" max="1" width="4.28515625" style="105" customWidth="1"/>
    <col min="2" max="2" width="11.28515625" style="105" customWidth="1"/>
    <col min="3" max="3" width="9.7109375" style="105" customWidth="1"/>
    <col min="4" max="4" width="10.7109375" style="105" customWidth="1"/>
    <col min="5" max="5" width="9.7109375" style="105" customWidth="1"/>
    <col min="6" max="6" width="11.7109375" style="105" bestFit="1" customWidth="1"/>
    <col min="7" max="7" width="9.7109375" style="105" customWidth="1"/>
    <col min="8" max="8" width="10.7109375" style="105" customWidth="1"/>
    <col min="9" max="9" width="9.7109375" style="105" customWidth="1"/>
    <col min="10" max="10" width="10.7109375" style="105" customWidth="1"/>
    <col min="11" max="16384" width="11.42578125" style="105"/>
  </cols>
  <sheetData>
    <row r="1" spans="1:10">
      <c r="A1" s="55"/>
      <c r="B1" s="86"/>
      <c r="C1" s="86"/>
      <c r="D1" s="86"/>
      <c r="E1" s="86"/>
      <c r="F1" s="86"/>
      <c r="G1" s="86"/>
      <c r="H1" s="86"/>
      <c r="I1" s="86"/>
      <c r="J1" s="55"/>
    </row>
    <row r="2" spans="1:10">
      <c r="A2" s="41"/>
      <c r="B2" s="55"/>
      <c r="C2" s="55"/>
      <c r="D2" s="55"/>
      <c r="E2" s="55"/>
      <c r="F2" s="55"/>
      <c r="G2" s="55"/>
      <c r="H2" s="55"/>
      <c r="I2" s="55"/>
      <c r="J2" s="55"/>
    </row>
    <row r="3" spans="1:10">
      <c r="A3" s="41"/>
      <c r="B3" s="55"/>
      <c r="C3" s="55"/>
      <c r="D3" s="55"/>
      <c r="E3" s="55"/>
      <c r="F3" s="55"/>
      <c r="G3" s="55"/>
      <c r="H3" s="55"/>
      <c r="I3" s="55"/>
      <c r="J3" s="55"/>
    </row>
    <row r="4" spans="1:10">
      <c r="A4" s="106"/>
      <c r="B4" s="55"/>
      <c r="C4" s="55"/>
      <c r="D4" s="55"/>
      <c r="E4" s="55"/>
      <c r="F4" s="55"/>
      <c r="G4" s="55"/>
      <c r="H4" s="55"/>
      <c r="I4" s="55"/>
      <c r="J4" s="55"/>
    </row>
    <row r="5" spans="1:10">
      <c r="A5" s="41"/>
      <c r="B5" s="55"/>
      <c r="C5" s="55"/>
      <c r="D5" s="55"/>
      <c r="E5" s="55"/>
      <c r="F5" s="55"/>
      <c r="G5" s="55"/>
      <c r="H5" s="55"/>
      <c r="I5" s="55"/>
      <c r="J5" s="55"/>
    </row>
    <row r="6" spans="1:10">
      <c r="A6" s="106"/>
      <c r="B6" s="55"/>
      <c r="C6" s="55"/>
      <c r="D6" s="55"/>
      <c r="E6" s="55"/>
      <c r="F6" s="55"/>
      <c r="G6" s="55"/>
      <c r="H6" s="55"/>
      <c r="I6" s="55"/>
      <c r="J6" s="55"/>
    </row>
    <row r="7" spans="1:10">
      <c r="A7" s="106"/>
      <c r="B7" s="55"/>
      <c r="C7" s="55"/>
      <c r="D7" s="55"/>
      <c r="E7" s="55"/>
      <c r="F7" s="55"/>
      <c r="G7" s="55"/>
      <c r="H7" s="55"/>
      <c r="I7" s="55"/>
      <c r="J7" s="55"/>
    </row>
    <row r="8" spans="1:10">
      <c r="A8" s="106"/>
      <c r="B8" s="55"/>
      <c r="C8" s="55"/>
      <c r="D8" s="55"/>
      <c r="E8" s="55"/>
      <c r="F8" s="55"/>
      <c r="G8" s="55"/>
      <c r="H8" s="55"/>
      <c r="I8" s="55"/>
      <c r="J8" s="55"/>
    </row>
    <row r="9" spans="1:10">
      <c r="A9" s="106"/>
      <c r="B9" s="55"/>
      <c r="C9" s="55"/>
      <c r="D9" s="55"/>
      <c r="E9" s="55"/>
      <c r="F9" s="55"/>
      <c r="G9" s="55"/>
      <c r="H9" s="55"/>
      <c r="I9" s="55"/>
      <c r="J9" s="55"/>
    </row>
    <row r="10" spans="1:10">
      <c r="A10" s="106"/>
      <c r="B10" s="55"/>
      <c r="C10" s="55"/>
      <c r="D10" s="55"/>
      <c r="E10" s="55"/>
      <c r="F10" s="55"/>
      <c r="G10" s="55"/>
      <c r="H10" s="55"/>
      <c r="I10" s="55"/>
      <c r="J10" s="55"/>
    </row>
    <row r="11" spans="1:10" ht="15.75">
      <c r="A11" s="55"/>
      <c r="B11" s="55"/>
      <c r="C11" s="340" t="s">
        <v>24</v>
      </c>
      <c r="D11" s="340"/>
      <c r="E11" s="340"/>
      <c r="F11" s="340"/>
      <c r="G11" s="340"/>
      <c r="H11" s="340"/>
      <c r="I11" s="340"/>
      <c r="J11" s="340"/>
    </row>
    <row r="12" spans="1:10">
      <c r="A12" s="55"/>
      <c r="B12" s="55"/>
      <c r="C12" s="55"/>
      <c r="D12" s="55"/>
      <c r="E12" s="55"/>
      <c r="F12" s="55"/>
      <c r="G12" s="55"/>
      <c r="H12" s="55"/>
      <c r="I12" s="55"/>
      <c r="J12" s="55"/>
    </row>
    <row r="13" spans="1:10" ht="20.100000000000001" customHeight="1">
      <c r="A13" s="55"/>
      <c r="B13" s="153" t="s">
        <v>25</v>
      </c>
      <c r="C13" s="338">
        <v>2023</v>
      </c>
      <c r="D13" s="339"/>
      <c r="E13" s="338" t="s">
        <v>42</v>
      </c>
      <c r="F13" s="339"/>
      <c r="G13" s="338">
        <v>2024</v>
      </c>
      <c r="H13" s="339"/>
      <c r="I13" s="338" t="s">
        <v>42</v>
      </c>
      <c r="J13" s="339"/>
    </row>
    <row r="14" spans="1:10" ht="20.100000000000001" customHeight="1">
      <c r="A14" s="55"/>
      <c r="B14" s="154" t="s">
        <v>28</v>
      </c>
      <c r="C14" s="155" t="s">
        <v>29</v>
      </c>
      <c r="D14" s="155" t="s">
        <v>30</v>
      </c>
      <c r="E14" s="155" t="s">
        <v>29</v>
      </c>
      <c r="F14" s="155" t="s">
        <v>30</v>
      </c>
      <c r="G14" s="155" t="s">
        <v>29</v>
      </c>
      <c r="H14" s="155" t="s">
        <v>30</v>
      </c>
      <c r="I14" s="155" t="s">
        <v>29</v>
      </c>
      <c r="J14" s="155" t="s">
        <v>30</v>
      </c>
    </row>
    <row r="15" spans="1:10" ht="15" customHeight="1">
      <c r="A15" s="55"/>
      <c r="B15" s="156" t="s">
        <v>31</v>
      </c>
      <c r="C15" s="157">
        <f>ENE!E67</f>
        <v>123.39</v>
      </c>
      <c r="D15" s="158">
        <f>ENE!F67</f>
        <v>4</v>
      </c>
      <c r="E15" s="159">
        <f>C15</f>
        <v>123.39</v>
      </c>
      <c r="F15" s="160">
        <f>D15</f>
        <v>4</v>
      </c>
      <c r="G15" s="161">
        <f>ENE!G46</f>
        <v>417.87</v>
      </c>
      <c r="H15" s="160">
        <f>ENE!H55</f>
        <v>8</v>
      </c>
      <c r="I15" s="161">
        <f>G15</f>
        <v>417.87</v>
      </c>
      <c r="J15" s="160">
        <f>H15</f>
        <v>8</v>
      </c>
    </row>
    <row r="16" spans="1:10" ht="15" customHeight="1">
      <c r="A16" s="55"/>
      <c r="B16" s="156" t="s">
        <v>33</v>
      </c>
      <c r="C16" s="161">
        <f>FEB!E72</f>
        <v>176.79</v>
      </c>
      <c r="D16" s="160">
        <f>FEB!F72</f>
        <v>6</v>
      </c>
      <c r="E16" s="159">
        <f>C16+E15</f>
        <v>300.18</v>
      </c>
      <c r="F16" s="160">
        <f>F15+D16</f>
        <v>10</v>
      </c>
      <c r="G16" s="161">
        <f>FEB!G48</f>
        <v>127.8</v>
      </c>
      <c r="H16" s="160">
        <f>FEB!H57</f>
        <v>2</v>
      </c>
      <c r="I16" s="161">
        <f t="shared" ref="I16:J20" si="0">I15+G16</f>
        <v>545.66999999999996</v>
      </c>
      <c r="J16" s="160">
        <f t="shared" si="0"/>
        <v>10</v>
      </c>
    </row>
    <row r="17" spans="1:10" ht="15" customHeight="1">
      <c r="A17" s="55"/>
      <c r="B17" s="156" t="s">
        <v>35</v>
      </c>
      <c r="C17" s="161">
        <f>MAR!E65</f>
        <v>370.56</v>
      </c>
      <c r="D17" s="160">
        <f>MAR!F65</f>
        <v>11</v>
      </c>
      <c r="E17" s="159">
        <f>E16+C17</f>
        <v>670.74</v>
      </c>
      <c r="F17" s="160">
        <f>F16+D17</f>
        <v>21</v>
      </c>
      <c r="G17" s="161">
        <f>MAR!G43</f>
        <v>78.06</v>
      </c>
      <c r="H17" s="160">
        <f>MAR!H51</f>
        <v>2</v>
      </c>
      <c r="I17" s="161">
        <f t="shared" si="0"/>
        <v>623.73</v>
      </c>
      <c r="J17" s="160">
        <f t="shared" si="0"/>
        <v>12</v>
      </c>
    </row>
    <row r="18" spans="1:10" ht="15" customHeight="1">
      <c r="A18" s="55"/>
      <c r="B18" s="156" t="s">
        <v>37</v>
      </c>
      <c r="C18" s="161">
        <f>ABR!E65</f>
        <v>201.99</v>
      </c>
      <c r="D18" s="160">
        <f>ABR!F65</f>
        <v>8</v>
      </c>
      <c r="E18" s="159">
        <f>E17+C18</f>
        <v>872.73</v>
      </c>
      <c r="F18" s="160">
        <f>F17+D18</f>
        <v>29</v>
      </c>
      <c r="G18" s="161">
        <f>ABR!G41</f>
        <v>0</v>
      </c>
      <c r="H18" s="160">
        <f>ABR!H50</f>
        <v>0</v>
      </c>
      <c r="I18" s="161">
        <f t="shared" si="0"/>
        <v>623.73</v>
      </c>
      <c r="J18" s="160">
        <f t="shared" si="0"/>
        <v>12</v>
      </c>
    </row>
    <row r="19" spans="1:10" ht="15" customHeight="1">
      <c r="A19" s="55"/>
      <c r="B19" s="156" t="s">
        <v>39</v>
      </c>
      <c r="C19" s="161">
        <f>MAY!E67</f>
        <v>60.9</v>
      </c>
      <c r="D19" s="160">
        <f>MAY!F67</f>
        <v>2</v>
      </c>
      <c r="E19" s="159">
        <f>E18+C19</f>
        <v>933.63</v>
      </c>
      <c r="F19" s="160">
        <f>F18+D19</f>
        <v>31</v>
      </c>
      <c r="G19" s="161">
        <f>MAY!G44</f>
        <v>0</v>
      </c>
      <c r="H19" s="160">
        <f>MAY!H52</f>
        <v>0</v>
      </c>
      <c r="I19" s="161">
        <f t="shared" si="0"/>
        <v>623.73</v>
      </c>
      <c r="J19" s="160">
        <f t="shared" si="0"/>
        <v>12</v>
      </c>
    </row>
    <row r="20" spans="1:10" ht="15" customHeight="1">
      <c r="A20" s="55"/>
      <c r="B20" s="162" t="s">
        <v>41</v>
      </c>
      <c r="C20" s="163">
        <f>JUN!E62</f>
        <v>0</v>
      </c>
      <c r="D20" s="164">
        <f>JUN!F62</f>
        <v>0</v>
      </c>
      <c r="E20" s="165">
        <f>E19+C20</f>
        <v>933.63</v>
      </c>
      <c r="F20" s="164">
        <f>F19+D20</f>
        <v>31</v>
      </c>
      <c r="G20" s="163">
        <f>+JUN!G33</f>
        <v>32.46</v>
      </c>
      <c r="H20" s="164">
        <f>+JUN!H42</f>
        <v>1</v>
      </c>
      <c r="I20" s="163">
        <f t="shared" si="0"/>
        <v>656.19</v>
      </c>
      <c r="J20" s="164">
        <f t="shared" si="0"/>
        <v>13</v>
      </c>
    </row>
    <row r="21" spans="1:10">
      <c r="A21" s="55"/>
      <c r="B21" s="166"/>
      <c r="C21" s="159"/>
      <c r="D21" s="167"/>
      <c r="E21" s="159"/>
      <c r="F21" s="167"/>
      <c r="G21" s="159"/>
      <c r="H21" s="167"/>
      <c r="I21" s="159"/>
      <c r="J21" s="167"/>
    </row>
    <row r="22" spans="1:10" ht="20.100000000000001" customHeight="1">
      <c r="A22" s="55"/>
      <c r="B22" s="168" t="s">
        <v>43</v>
      </c>
      <c r="C22" s="169">
        <f>SUM(C15:C20)</f>
        <v>933.63</v>
      </c>
      <c r="D22" s="170">
        <f>SUM(D15:D20)</f>
        <v>31</v>
      </c>
      <c r="E22" s="169">
        <f>E20</f>
        <v>933.63</v>
      </c>
      <c r="F22" s="170">
        <f>F20</f>
        <v>31</v>
      </c>
      <c r="G22" s="169">
        <f>SUM(G15:G20)</f>
        <v>656.19</v>
      </c>
      <c r="H22" s="170">
        <f>SUM(H15:H20)</f>
        <v>13</v>
      </c>
      <c r="I22" s="169">
        <f>I20</f>
        <v>656.19</v>
      </c>
      <c r="J22" s="170">
        <f>J20</f>
        <v>13</v>
      </c>
    </row>
    <row r="23" spans="1:10">
      <c r="A23" s="55"/>
      <c r="B23" s="55"/>
      <c r="C23" s="55"/>
      <c r="D23" s="55"/>
      <c r="E23" s="55"/>
      <c r="F23" s="55"/>
      <c r="G23" s="55"/>
      <c r="H23" s="55"/>
      <c r="I23" s="55"/>
      <c r="J23" s="55"/>
    </row>
    <row r="24" spans="1:10">
      <c r="A24" s="55"/>
      <c r="B24" s="55"/>
      <c r="C24" s="55"/>
      <c r="D24" s="55"/>
      <c r="E24" s="55"/>
      <c r="F24" s="55"/>
      <c r="G24" s="55"/>
      <c r="H24" s="55"/>
      <c r="I24" s="55"/>
      <c r="J24" s="55"/>
    </row>
    <row r="25" spans="1:10">
      <c r="A25" s="55"/>
      <c r="B25" s="55"/>
      <c r="C25" s="55"/>
      <c r="D25" s="55"/>
      <c r="E25" s="55"/>
      <c r="F25" s="55"/>
      <c r="G25" s="55"/>
      <c r="H25" s="55"/>
      <c r="I25" s="55"/>
      <c r="J25" s="55"/>
    </row>
    <row r="26" spans="1:10">
      <c r="A26" s="55"/>
      <c r="B26" s="55"/>
      <c r="C26" s="55"/>
      <c r="D26" s="55"/>
      <c r="E26" s="55"/>
      <c r="F26" s="55"/>
      <c r="G26" s="55"/>
      <c r="H26" s="55"/>
      <c r="I26" s="55"/>
      <c r="J26" s="55"/>
    </row>
    <row r="27" spans="1:10" ht="20.100000000000001" customHeight="1">
      <c r="A27" s="55"/>
      <c r="B27" s="171"/>
      <c r="C27" s="338" t="s">
        <v>8</v>
      </c>
      <c r="D27" s="343"/>
      <c r="E27" s="343"/>
      <c r="F27" s="339"/>
      <c r="G27" s="338" t="s">
        <v>42</v>
      </c>
      <c r="H27" s="343"/>
      <c r="I27" s="343"/>
      <c r="J27" s="339"/>
    </row>
    <row r="28" spans="1:10" ht="20.100000000000001" customHeight="1">
      <c r="A28" s="55"/>
      <c r="B28" s="172" t="s">
        <v>28</v>
      </c>
      <c r="C28" s="341" t="s">
        <v>44</v>
      </c>
      <c r="D28" s="342"/>
      <c r="E28" s="341" t="s">
        <v>45</v>
      </c>
      <c r="F28" s="342"/>
      <c r="G28" s="341" t="s">
        <v>44</v>
      </c>
      <c r="H28" s="342"/>
      <c r="I28" s="341" t="s">
        <v>45</v>
      </c>
      <c r="J28" s="342"/>
    </row>
    <row r="29" spans="1:10" ht="15" customHeight="1">
      <c r="A29" s="55"/>
      <c r="B29" s="173" t="s">
        <v>31</v>
      </c>
      <c r="C29" s="166"/>
      <c r="D29" s="159">
        <f>ENE!F59</f>
        <v>0</v>
      </c>
      <c r="E29" s="166"/>
      <c r="F29" s="159">
        <f>+ENE!F60:G60</f>
        <v>417870</v>
      </c>
      <c r="G29" s="156"/>
      <c r="H29" s="159">
        <f>D29</f>
        <v>0</v>
      </c>
      <c r="I29" s="166"/>
      <c r="J29" s="174">
        <f>F29</f>
        <v>417870</v>
      </c>
    </row>
    <row r="30" spans="1:10" ht="15" customHeight="1">
      <c r="A30" s="55"/>
      <c r="B30" s="173" t="s">
        <v>33</v>
      </c>
      <c r="C30" s="166"/>
      <c r="D30" s="159">
        <f>FEB!F62</f>
        <v>0</v>
      </c>
      <c r="E30" s="166"/>
      <c r="F30" s="159">
        <f>FEB!F63</f>
        <v>127800</v>
      </c>
      <c r="G30" s="156"/>
      <c r="H30" s="159">
        <f>H29+D30</f>
        <v>0</v>
      </c>
      <c r="I30" s="166"/>
      <c r="J30" s="174">
        <f>J29+F30</f>
        <v>545670</v>
      </c>
    </row>
    <row r="31" spans="1:10" ht="15" customHeight="1">
      <c r="A31" s="55"/>
      <c r="B31" s="173" t="s">
        <v>35</v>
      </c>
      <c r="C31" s="166"/>
      <c r="D31" s="159">
        <f>MAR!G54</f>
        <v>0</v>
      </c>
      <c r="E31" s="166"/>
      <c r="F31" s="159">
        <f>MAR!F55</f>
        <v>78060</v>
      </c>
      <c r="G31" s="156"/>
      <c r="H31" s="159">
        <f>H30+D31</f>
        <v>0</v>
      </c>
      <c r="I31" s="166"/>
      <c r="J31" s="174">
        <f>J30+F31</f>
        <v>623730</v>
      </c>
    </row>
    <row r="32" spans="1:10" ht="15" customHeight="1">
      <c r="A32" s="55"/>
      <c r="B32" s="173" t="s">
        <v>37</v>
      </c>
      <c r="C32" s="166"/>
      <c r="D32" s="159">
        <f>ABR!F54</f>
        <v>0</v>
      </c>
      <c r="E32" s="166"/>
      <c r="F32" s="159">
        <f>ABR!F55</f>
        <v>0</v>
      </c>
      <c r="G32" s="156"/>
      <c r="H32" s="159">
        <f>H31+D32</f>
        <v>0</v>
      </c>
      <c r="I32" s="166"/>
      <c r="J32" s="174">
        <f>J31+F32</f>
        <v>623730</v>
      </c>
    </row>
    <row r="33" spans="1:10" ht="15" customHeight="1">
      <c r="A33" s="55"/>
      <c r="B33" s="173" t="s">
        <v>39</v>
      </c>
      <c r="C33" s="166"/>
      <c r="D33" s="159">
        <f>MAY!G55</f>
        <v>0</v>
      </c>
      <c r="E33" s="166"/>
      <c r="F33" s="159">
        <f>MAY!F56</f>
        <v>0</v>
      </c>
      <c r="G33" s="156"/>
      <c r="H33" s="159">
        <f>H32+D33</f>
        <v>0</v>
      </c>
      <c r="I33" s="166"/>
      <c r="J33" s="174">
        <f>J32+F33</f>
        <v>623730</v>
      </c>
    </row>
    <row r="34" spans="1:10" ht="15" customHeight="1">
      <c r="A34" s="55"/>
      <c r="B34" s="175" t="s">
        <v>41</v>
      </c>
      <c r="C34" s="162"/>
      <c r="D34" s="165">
        <f>+JUN!G47</f>
        <v>0</v>
      </c>
      <c r="E34" s="176"/>
      <c r="F34" s="165">
        <f>+JUN!G48</f>
        <v>32460</v>
      </c>
      <c r="G34" s="162"/>
      <c r="H34" s="165">
        <f>H33+D34</f>
        <v>0</v>
      </c>
      <c r="I34" s="176"/>
      <c r="J34" s="177">
        <f>J33+F34</f>
        <v>656190</v>
      </c>
    </row>
    <row r="35" spans="1:10">
      <c r="A35" s="55"/>
      <c r="B35" s="166"/>
      <c r="C35" s="166"/>
      <c r="D35" s="166"/>
      <c r="E35" s="166"/>
      <c r="F35" s="166"/>
      <c r="G35" s="166"/>
      <c r="H35" s="166"/>
      <c r="I35" s="166"/>
      <c r="J35" s="166"/>
    </row>
    <row r="36" spans="1:10" ht="20.100000000000001" customHeight="1">
      <c r="A36" s="55"/>
      <c r="B36" s="168" t="s">
        <v>43</v>
      </c>
      <c r="C36" s="178"/>
      <c r="D36" s="179">
        <f>SUM(D29:D35)</f>
        <v>0</v>
      </c>
      <c r="E36" s="179"/>
      <c r="F36" s="179">
        <f>SUM(F29:F35)</f>
        <v>656190</v>
      </c>
      <c r="G36" s="178"/>
      <c r="H36" s="179">
        <f>H34</f>
        <v>0</v>
      </c>
      <c r="I36" s="178"/>
      <c r="J36" s="179">
        <f>J34</f>
        <v>656190</v>
      </c>
    </row>
    <row r="37" spans="1:10">
      <c r="A37" s="55"/>
      <c r="B37" s="55"/>
      <c r="C37" s="55"/>
      <c r="D37" s="55"/>
      <c r="E37" s="55"/>
      <c r="F37" s="55"/>
      <c r="G37" s="55"/>
      <c r="H37" s="55"/>
      <c r="I37" s="55"/>
      <c r="J37" s="55"/>
    </row>
    <row r="38" spans="1:10">
      <c r="A38" s="55"/>
      <c r="B38" s="55"/>
      <c r="C38" s="55"/>
      <c r="D38" s="55"/>
      <c r="E38" s="55"/>
      <c r="F38" s="54"/>
      <c r="G38" s="55"/>
      <c r="H38" s="55"/>
      <c r="I38" s="55"/>
      <c r="J38" s="55"/>
    </row>
    <row r="39" spans="1:10">
      <c r="A39" s="55"/>
      <c r="B39" s="55"/>
      <c r="C39" s="55"/>
      <c r="D39" s="55"/>
      <c r="E39" s="55"/>
      <c r="F39" s="55"/>
      <c r="G39" s="54"/>
      <c r="H39" s="55"/>
      <c r="I39" s="55"/>
      <c r="J39" s="55"/>
    </row>
    <row r="40" spans="1:10">
      <c r="A40" s="55"/>
      <c r="B40" s="55"/>
      <c r="C40" s="55"/>
      <c r="D40" s="55"/>
      <c r="E40" s="55"/>
      <c r="F40" s="55"/>
      <c r="G40" s="55"/>
      <c r="H40" s="55"/>
      <c r="I40" s="55"/>
      <c r="J40" s="55"/>
    </row>
    <row r="41" spans="1:10">
      <c r="A41" s="55"/>
      <c r="B41" s="55"/>
      <c r="C41" s="55"/>
      <c r="D41" s="55"/>
      <c r="E41" s="55"/>
      <c r="F41" s="55"/>
      <c r="G41" s="55"/>
      <c r="H41" s="55"/>
      <c r="I41" s="55"/>
      <c r="J41" s="55"/>
    </row>
    <row r="42" spans="1:10">
      <c r="A42" s="55"/>
      <c r="B42" s="55"/>
      <c r="C42" s="55"/>
      <c r="D42" s="55"/>
      <c r="E42" s="55"/>
      <c r="F42" s="55"/>
      <c r="G42" s="55"/>
      <c r="H42" s="55"/>
      <c r="I42" s="55"/>
      <c r="J42" s="55"/>
    </row>
    <row r="43" spans="1:10">
      <c r="A43" s="55"/>
      <c r="B43" s="55"/>
      <c r="C43" s="55"/>
      <c r="D43" s="55"/>
      <c r="E43" s="55"/>
      <c r="F43" s="55"/>
      <c r="G43" s="55"/>
      <c r="H43" s="55"/>
      <c r="I43" s="55"/>
      <c r="J43" s="55"/>
    </row>
    <row r="44" spans="1:10">
      <c r="A44" s="55"/>
      <c r="B44" s="55"/>
      <c r="C44" s="55"/>
      <c r="D44" s="55"/>
      <c r="E44" s="55"/>
      <c r="F44" s="55"/>
      <c r="G44" s="55"/>
      <c r="H44" s="55"/>
      <c r="I44" s="55"/>
      <c r="J44" s="55"/>
    </row>
    <row r="45" spans="1:10">
      <c r="A45" s="55"/>
      <c r="B45" s="55"/>
      <c r="C45" s="55"/>
      <c r="D45" s="55"/>
      <c r="E45" s="55"/>
      <c r="F45" s="55"/>
      <c r="G45" s="55"/>
      <c r="H45" s="55"/>
      <c r="I45" s="55"/>
      <c r="J45" s="55"/>
    </row>
    <row r="46" spans="1:10">
      <c r="A46" s="55"/>
      <c r="B46" s="55"/>
      <c r="C46" s="55"/>
      <c r="D46" s="55"/>
      <c r="E46" s="55"/>
      <c r="F46" s="55"/>
      <c r="G46" s="55"/>
      <c r="H46" s="55"/>
      <c r="I46" s="55"/>
      <c r="J46" s="55"/>
    </row>
    <row r="47" spans="1:10">
      <c r="A47" s="55"/>
      <c r="B47" s="55"/>
      <c r="C47" s="55"/>
      <c r="D47" s="55"/>
      <c r="E47" s="55"/>
      <c r="F47" s="55"/>
      <c r="G47" s="55"/>
      <c r="H47" s="55"/>
      <c r="I47" s="55"/>
      <c r="J47" s="55"/>
    </row>
    <row r="48" spans="1:10">
      <c r="A48" s="55"/>
      <c r="B48" s="55"/>
      <c r="C48" s="55"/>
      <c r="D48" s="55"/>
      <c r="E48" s="55"/>
      <c r="F48" s="55"/>
      <c r="G48" s="55"/>
      <c r="H48" s="55"/>
      <c r="I48" s="55"/>
      <c r="J48" s="55"/>
    </row>
    <row r="49" spans="1:10">
      <c r="A49" s="55"/>
      <c r="B49" s="55"/>
      <c r="C49" s="55"/>
      <c r="D49" s="55"/>
      <c r="E49" s="55"/>
      <c r="F49" s="55"/>
      <c r="G49" s="55"/>
      <c r="H49" s="55"/>
      <c r="I49" s="55"/>
      <c r="J49" s="55"/>
    </row>
    <row r="50" spans="1:10">
      <c r="A50" s="55"/>
      <c r="B50" s="55"/>
      <c r="C50" s="55"/>
      <c r="D50" s="55"/>
      <c r="E50" s="55"/>
      <c r="F50" s="55"/>
      <c r="G50" s="55"/>
      <c r="H50" s="55"/>
      <c r="I50" s="55"/>
      <c r="J50" s="55"/>
    </row>
    <row r="51" spans="1:10">
      <c r="A51" s="55"/>
      <c r="B51" s="55"/>
      <c r="C51" s="55"/>
      <c r="D51" s="55"/>
      <c r="E51" s="55"/>
      <c r="F51" s="55"/>
      <c r="G51" s="55"/>
      <c r="H51" s="55"/>
      <c r="I51" s="55"/>
      <c r="J51" s="55"/>
    </row>
    <row r="52" spans="1:10">
      <c r="A52" s="55"/>
      <c r="B52" s="55"/>
      <c r="C52" s="55"/>
      <c r="D52" s="55"/>
      <c r="E52" s="55"/>
      <c r="F52" s="55"/>
      <c r="G52" s="55"/>
      <c r="H52" s="55"/>
      <c r="I52" s="55"/>
      <c r="J52" s="55"/>
    </row>
    <row r="53" spans="1:10">
      <c r="A53" s="55"/>
      <c r="B53" s="55"/>
      <c r="C53" s="55"/>
      <c r="D53" s="55"/>
      <c r="E53" s="55"/>
      <c r="F53" s="55"/>
      <c r="G53" s="55"/>
      <c r="H53" s="55"/>
      <c r="I53" s="55"/>
      <c r="J53" s="55"/>
    </row>
    <row r="54" spans="1:10">
      <c r="A54" s="55"/>
      <c r="B54" s="55"/>
      <c r="C54" s="55"/>
      <c r="D54" s="55"/>
      <c r="E54" s="55"/>
      <c r="F54" s="55"/>
      <c r="G54" s="55"/>
      <c r="H54" s="55"/>
      <c r="I54" s="55"/>
      <c r="J54" s="55"/>
    </row>
    <row r="55" spans="1:10">
      <c r="A55" s="55"/>
      <c r="B55" s="55"/>
      <c r="C55" s="55"/>
      <c r="D55" s="55"/>
      <c r="E55" s="55"/>
      <c r="F55" s="55"/>
      <c r="G55" s="55"/>
      <c r="H55" s="55"/>
      <c r="I55" s="55"/>
      <c r="J55" s="55"/>
    </row>
  </sheetData>
  <mergeCells count="11">
    <mergeCell ref="C28:D28"/>
    <mergeCell ref="E28:F28"/>
    <mergeCell ref="G28:H28"/>
    <mergeCell ref="I28:J28"/>
    <mergeCell ref="C27:F27"/>
    <mergeCell ref="G27:J27"/>
    <mergeCell ref="C13:D13"/>
    <mergeCell ref="E13:F13"/>
    <mergeCell ref="G13:H13"/>
    <mergeCell ref="I13:J13"/>
    <mergeCell ref="C11:J11"/>
  </mergeCells>
  <phoneticPr fontId="0" type="noConversion"/>
  <pageMargins left="0.59055118110236227" right="0.75" top="1" bottom="1" header="0" footer="0"/>
  <pageSetup paperSize="9" scale="85" orientation="portrait" horizontalDpi="4294967293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44"/>
  <sheetViews>
    <sheetView showGridLines="0" topLeftCell="A4" zoomScaleNormal="100" workbookViewId="0">
      <selection activeCell="C37" sqref="C37:D37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2" t="s">
        <v>2</v>
      </c>
      <c r="F7" s="302"/>
      <c r="G7" s="302"/>
      <c r="H7" s="302"/>
      <c r="I7" s="84" t="s">
        <v>46</v>
      </c>
      <c r="J7" s="85">
        <f>CARÁT!$F$16</f>
        <v>2024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0" t="s">
        <v>6</v>
      </c>
      <c r="E10" s="320"/>
      <c r="F10" s="320" t="s">
        <v>7</v>
      </c>
      <c r="G10" s="320"/>
      <c r="H10" s="320" t="s">
        <v>8</v>
      </c>
      <c r="I10" s="320"/>
      <c r="J10" s="320"/>
      <c r="K10" s="55"/>
    </row>
    <row r="11" spans="1:11">
      <c r="A11" s="41"/>
      <c r="B11" s="124">
        <v>22</v>
      </c>
      <c r="C11" s="125">
        <v>45487</v>
      </c>
      <c r="D11" s="363" t="s">
        <v>9</v>
      </c>
      <c r="E11" s="363"/>
      <c r="F11" s="344">
        <v>79470</v>
      </c>
      <c r="G11" s="345"/>
      <c r="H11" s="303" t="s">
        <v>10</v>
      </c>
      <c r="I11" s="303"/>
      <c r="J11" s="303"/>
      <c r="K11" s="55"/>
    </row>
    <row r="12" spans="1:11">
      <c r="A12" s="41"/>
      <c r="B12" s="41"/>
      <c r="C12" s="46"/>
      <c r="D12" s="363"/>
      <c r="E12" s="363"/>
      <c r="F12" s="305"/>
      <c r="G12" s="305"/>
      <c r="H12" s="47"/>
      <c r="I12" s="47"/>
      <c r="J12" s="47"/>
      <c r="K12" s="55"/>
    </row>
    <row r="13" spans="1:11">
      <c r="A13" s="41"/>
      <c r="B13" s="41"/>
      <c r="C13" s="46"/>
      <c r="D13" s="363"/>
      <c r="E13" s="363"/>
      <c r="F13" s="305"/>
      <c r="G13" s="305"/>
      <c r="H13" s="47"/>
      <c r="I13" s="47"/>
      <c r="J13" s="47"/>
      <c r="K13" s="55"/>
    </row>
    <row r="14" spans="1:11">
      <c r="A14" s="41"/>
      <c r="B14" s="41"/>
      <c r="C14" s="46"/>
      <c r="D14" s="363"/>
      <c r="E14" s="363"/>
      <c r="F14" s="305"/>
      <c r="G14" s="305"/>
      <c r="H14" s="303"/>
      <c r="I14" s="303"/>
      <c r="J14" s="303"/>
      <c r="K14" s="55"/>
    </row>
    <row r="15" spans="1:11">
      <c r="A15" s="41"/>
      <c r="B15" s="41"/>
      <c r="C15" s="46"/>
      <c r="D15" s="363"/>
      <c r="E15" s="363"/>
      <c r="F15" s="305"/>
      <c r="G15" s="305"/>
      <c r="H15" s="303"/>
      <c r="I15" s="303"/>
      <c r="J15" s="303"/>
      <c r="K15" s="55"/>
    </row>
    <row r="16" spans="1:11">
      <c r="A16" s="41"/>
      <c r="B16" s="41"/>
      <c r="C16" s="46"/>
      <c r="D16" s="363"/>
      <c r="E16" s="363"/>
      <c r="F16" s="305"/>
      <c r="G16" s="305"/>
      <c r="H16" s="303"/>
      <c r="I16" s="303"/>
      <c r="J16" s="303"/>
      <c r="K16" s="55"/>
    </row>
    <row r="17" spans="1:11">
      <c r="A17" s="41"/>
      <c r="B17" s="41"/>
      <c r="C17" s="46"/>
      <c r="D17" s="363"/>
      <c r="E17" s="363"/>
      <c r="F17" s="305"/>
      <c r="G17" s="305"/>
      <c r="H17" s="303"/>
      <c r="I17" s="303"/>
      <c r="J17" s="303"/>
      <c r="K17" s="55"/>
    </row>
    <row r="18" spans="1:11">
      <c r="A18" s="41"/>
      <c r="B18" s="41"/>
      <c r="C18" s="46"/>
      <c r="D18" s="363"/>
      <c r="E18" s="363"/>
      <c r="F18" s="305"/>
      <c r="G18" s="305"/>
      <c r="H18" s="303"/>
      <c r="I18" s="303"/>
      <c r="J18" s="303"/>
      <c r="K18" s="55"/>
    </row>
    <row r="19" spans="1:11">
      <c r="A19" s="41"/>
      <c r="B19" s="41"/>
      <c r="C19" s="46"/>
      <c r="D19" s="363"/>
      <c r="E19" s="363"/>
      <c r="F19" s="304"/>
      <c r="G19" s="304"/>
      <c r="H19" s="303"/>
      <c r="I19" s="303"/>
      <c r="J19" s="303"/>
      <c r="K19" s="55"/>
    </row>
    <row r="20" spans="1:11">
      <c r="A20" s="41"/>
      <c r="B20" s="41"/>
      <c r="C20" s="46"/>
      <c r="D20" s="363"/>
      <c r="E20" s="363"/>
      <c r="F20" s="304"/>
      <c r="G20" s="304"/>
      <c r="H20" s="303"/>
      <c r="I20" s="303"/>
      <c r="J20" s="303"/>
      <c r="K20" s="55"/>
    </row>
    <row r="21" spans="1:11">
      <c r="A21" s="41"/>
      <c r="B21" s="41"/>
      <c r="C21" s="46"/>
      <c r="D21" s="363"/>
      <c r="E21" s="363"/>
      <c r="F21" s="304"/>
      <c r="G21" s="304"/>
      <c r="H21" s="303"/>
      <c r="I21" s="303"/>
      <c r="J21" s="303"/>
      <c r="K21" s="55"/>
    </row>
    <row r="22" spans="1:11">
      <c r="A22" s="41"/>
      <c r="B22" s="41"/>
      <c r="C22" s="46"/>
      <c r="D22" s="363"/>
      <c r="E22" s="363"/>
      <c r="F22" s="304"/>
      <c r="G22" s="304"/>
      <c r="H22" s="303"/>
      <c r="I22" s="303"/>
      <c r="J22" s="303"/>
      <c r="K22" s="55"/>
    </row>
    <row r="23" spans="1:11">
      <c r="A23" s="41"/>
      <c r="B23" s="41"/>
      <c r="C23" s="46"/>
      <c r="D23" s="363"/>
      <c r="E23" s="363"/>
      <c r="F23" s="304"/>
      <c r="G23" s="304"/>
      <c r="H23" s="303"/>
      <c r="I23" s="303"/>
      <c r="J23" s="303"/>
      <c r="K23" s="55"/>
    </row>
    <row r="24" spans="1:11">
      <c r="A24" s="41"/>
      <c r="B24" s="41"/>
      <c r="C24" s="46"/>
      <c r="D24" s="363"/>
      <c r="E24" s="363"/>
      <c r="F24" s="304"/>
      <c r="G24" s="304"/>
      <c r="H24" s="303"/>
      <c r="I24" s="303"/>
      <c r="J24" s="303"/>
      <c r="K24" s="55"/>
    </row>
    <row r="25" spans="1:11">
      <c r="A25" s="41"/>
      <c r="B25" s="41"/>
      <c r="C25" s="46"/>
      <c r="D25" s="363"/>
      <c r="E25" s="363"/>
      <c r="F25" s="304"/>
      <c r="G25" s="304"/>
      <c r="H25" s="303"/>
      <c r="I25" s="303"/>
      <c r="J25" s="303"/>
      <c r="K25" s="55"/>
    </row>
    <row r="26" spans="1:11">
      <c r="A26" s="41"/>
      <c r="B26" s="41"/>
      <c r="C26" s="46"/>
      <c r="D26" s="303"/>
      <c r="E26" s="303"/>
      <c r="F26" s="304"/>
      <c r="G26" s="304"/>
      <c r="H26" s="303"/>
      <c r="I26" s="303"/>
      <c r="J26" s="303"/>
      <c r="K26" s="55"/>
    </row>
    <row r="27" spans="1:11">
      <c r="A27" s="41"/>
      <c r="B27" s="41"/>
      <c r="C27" s="46"/>
      <c r="D27" s="303"/>
      <c r="E27" s="303"/>
      <c r="F27" s="304"/>
      <c r="G27" s="304"/>
      <c r="H27" s="303"/>
      <c r="I27" s="303"/>
      <c r="J27" s="303"/>
      <c r="K27" s="55"/>
    </row>
    <row r="28" spans="1:11">
      <c r="A28" s="41"/>
      <c r="B28" s="41"/>
      <c r="C28" s="46"/>
      <c r="D28" s="363"/>
      <c r="E28" s="363"/>
      <c r="F28" s="304"/>
      <c r="G28" s="304"/>
      <c r="H28" s="303"/>
      <c r="I28" s="303"/>
      <c r="J28" s="303"/>
      <c r="K28" s="55"/>
    </row>
    <row r="29" spans="1:11">
      <c r="A29" s="41"/>
      <c r="B29" s="41"/>
      <c r="C29" s="46"/>
      <c r="D29" s="303"/>
      <c r="E29" s="303"/>
      <c r="F29" s="304"/>
      <c r="G29" s="304"/>
      <c r="H29" s="303"/>
      <c r="I29" s="303"/>
      <c r="J29" s="303"/>
      <c r="K29" s="55"/>
    </row>
    <row r="30" spans="1:11">
      <c r="A30" s="41"/>
      <c r="B30" s="41"/>
      <c r="C30" s="46"/>
      <c r="D30" s="55"/>
      <c r="E30" s="55"/>
      <c r="F30" s="49"/>
      <c r="G30" s="49"/>
      <c r="H30" s="41"/>
      <c r="I30" s="41"/>
      <c r="J30" s="41"/>
      <c r="K30" s="55"/>
    </row>
    <row r="31" spans="1:11">
      <c r="A31" s="41"/>
      <c r="B31" s="41"/>
      <c r="C31" s="51"/>
      <c r="D31" s="52"/>
      <c r="E31" s="52"/>
      <c r="F31" s="329">
        <f>SUM(F11:G29)</f>
        <v>79470</v>
      </c>
      <c r="G31" s="330"/>
      <c r="H31" s="53"/>
      <c r="I31" s="53"/>
      <c r="J31" s="53"/>
      <c r="K31" s="55"/>
    </row>
    <row r="32" spans="1:11">
      <c r="A32" s="41"/>
      <c r="B32" s="41"/>
      <c r="C32" s="55"/>
      <c r="D32" s="55"/>
      <c r="E32" s="56"/>
      <c r="F32" s="55"/>
      <c r="G32" s="55"/>
      <c r="H32" s="55"/>
      <c r="I32" s="55"/>
      <c r="J32" s="55"/>
      <c r="K32" s="55"/>
    </row>
    <row r="33" spans="1:11">
      <c r="A33" s="41"/>
      <c r="B33" s="41"/>
      <c r="C33" s="55"/>
      <c r="D33" s="319" t="s">
        <v>14</v>
      </c>
      <c r="E33" s="319"/>
      <c r="F33" s="55"/>
      <c r="G33" s="58">
        <f>F31/1000</f>
        <v>79.47</v>
      </c>
      <c r="H33" s="55"/>
      <c r="I33" s="55"/>
      <c r="J33" s="55"/>
      <c r="K33" s="55"/>
    </row>
    <row r="34" spans="1:11">
      <c r="A34" s="41"/>
      <c r="B34" s="41"/>
      <c r="C34" s="55"/>
      <c r="D34" s="55"/>
      <c r="E34" s="56"/>
      <c r="F34" s="55"/>
      <c r="G34" s="55"/>
      <c r="H34" s="55"/>
      <c r="I34" s="54"/>
      <c r="J34" s="55"/>
      <c r="K34" s="55"/>
    </row>
    <row r="35" spans="1:11">
      <c r="A35" s="41"/>
      <c r="B35" s="41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41"/>
      <c r="B36" s="41"/>
      <c r="C36" s="317" t="s">
        <v>15</v>
      </c>
      <c r="D36" s="317"/>
      <c r="E36" s="317" t="s">
        <v>16</v>
      </c>
      <c r="F36" s="317"/>
      <c r="G36" s="59" t="s">
        <v>17</v>
      </c>
      <c r="H36" s="59" t="s">
        <v>18</v>
      </c>
      <c r="I36" s="55"/>
      <c r="J36" s="55"/>
      <c r="K36" s="55"/>
    </row>
    <row r="37" spans="1:11">
      <c r="A37" s="41"/>
      <c r="B37" s="41"/>
      <c r="C37" s="303" t="s">
        <v>20</v>
      </c>
      <c r="D37" s="303"/>
      <c r="E37" s="312">
        <f>F11</f>
        <v>79470</v>
      </c>
      <c r="F37" s="312"/>
      <c r="G37" s="61">
        <f>+E37/E42</f>
        <v>1</v>
      </c>
      <c r="H37" s="62">
        <v>1</v>
      </c>
      <c r="I37" s="55"/>
      <c r="J37" s="55"/>
      <c r="K37" s="55"/>
    </row>
    <row r="38" spans="1:11">
      <c r="A38" s="41"/>
      <c r="B38" s="41"/>
      <c r="C38" s="303"/>
      <c r="D38" s="303"/>
      <c r="E38" s="304"/>
      <c r="F38" s="304"/>
      <c r="G38" s="61">
        <f>+E38/E42</f>
        <v>0</v>
      </c>
      <c r="H38" s="62"/>
      <c r="I38" s="55"/>
      <c r="J38" s="55"/>
      <c r="K38" s="55"/>
    </row>
    <row r="39" spans="1:11">
      <c r="A39" s="41"/>
      <c r="B39" s="41"/>
      <c r="C39" s="303"/>
      <c r="D39" s="303"/>
      <c r="E39" s="304"/>
      <c r="F39" s="304"/>
      <c r="G39" s="61">
        <f>+E39/E42</f>
        <v>0</v>
      </c>
      <c r="H39" s="62"/>
      <c r="I39" s="55"/>
      <c r="J39" s="55"/>
      <c r="K39" s="55"/>
    </row>
    <row r="40" spans="1:11">
      <c r="A40" s="41"/>
      <c r="B40" s="41"/>
      <c r="C40" s="303"/>
      <c r="D40" s="303"/>
      <c r="E40" s="304"/>
      <c r="F40" s="304"/>
      <c r="G40" s="61">
        <f>+E40/E42</f>
        <v>0</v>
      </c>
      <c r="H40" s="62"/>
      <c r="I40" s="55"/>
      <c r="J40" s="55"/>
      <c r="K40" s="55"/>
    </row>
    <row r="41" spans="1:11">
      <c r="A41" s="41"/>
      <c r="B41" s="41"/>
      <c r="C41" s="303"/>
      <c r="D41" s="303"/>
      <c r="E41" s="304"/>
      <c r="F41" s="304"/>
      <c r="G41" s="61">
        <f>+E41/E42</f>
        <v>0</v>
      </c>
      <c r="H41" s="62"/>
      <c r="I41" s="55"/>
      <c r="J41" s="55"/>
      <c r="K41" s="55"/>
    </row>
    <row r="42" spans="1:11">
      <c r="A42" s="41"/>
      <c r="B42" s="41"/>
      <c r="C42" s="64"/>
      <c r="D42" s="57" t="s">
        <v>21</v>
      </c>
      <c r="E42" s="365">
        <f>SUM(E37:F41)</f>
        <v>79470</v>
      </c>
      <c r="F42" s="365"/>
      <c r="G42" s="65">
        <f>SUM(G37:G41)</f>
        <v>1</v>
      </c>
      <c r="H42" s="66">
        <f>SUM(H37:H41)</f>
        <v>1</v>
      </c>
      <c r="I42" s="55"/>
      <c r="J42" s="55"/>
      <c r="K42" s="55"/>
    </row>
    <row r="43" spans="1:11">
      <c r="A43" s="41"/>
      <c r="B43" s="41"/>
      <c r="C43" s="67"/>
      <c r="D43" s="67"/>
      <c r="E43" s="52"/>
      <c r="F43" s="52"/>
      <c r="G43" s="52"/>
      <c r="H43" s="55"/>
      <c r="I43" s="55"/>
      <c r="J43" s="55"/>
      <c r="K43" s="55"/>
    </row>
    <row r="44" spans="1:11">
      <c r="A44" s="41"/>
      <c r="B44" s="41"/>
      <c r="C44" s="55"/>
      <c r="D44" s="55"/>
      <c r="E44" s="54"/>
      <c r="F44" s="69"/>
      <c r="G44" s="70"/>
      <c r="H44" s="55"/>
      <c r="I44" s="55"/>
      <c r="J44" s="55"/>
      <c r="K44" s="55"/>
    </row>
    <row r="45" spans="1:11">
      <c r="A45" s="41"/>
      <c r="B45" s="41"/>
      <c r="C45" s="313" t="s">
        <v>8</v>
      </c>
      <c r="D45" s="314"/>
      <c r="E45" s="315"/>
      <c r="F45" s="316" t="s">
        <v>7</v>
      </c>
      <c r="G45" s="317"/>
      <c r="H45" s="59" t="s">
        <v>17</v>
      </c>
      <c r="I45" s="55"/>
      <c r="J45" s="55"/>
      <c r="K45" s="55"/>
    </row>
    <row r="46" spans="1:11">
      <c r="A46" s="41"/>
      <c r="B46" s="41"/>
      <c r="C46" s="303" t="s">
        <v>22</v>
      </c>
      <c r="D46" s="303"/>
      <c r="E46" s="303"/>
      <c r="F46" s="49"/>
      <c r="G46" s="49"/>
      <c r="H46" s="61">
        <f>+G46/F48</f>
        <v>0</v>
      </c>
      <c r="I46" s="55"/>
      <c r="J46" s="55"/>
      <c r="K46" s="55"/>
    </row>
    <row r="47" spans="1:11">
      <c r="A47" s="41"/>
      <c r="B47" s="41"/>
      <c r="C47" s="303" t="s">
        <v>23</v>
      </c>
      <c r="D47" s="303"/>
      <c r="E47" s="303"/>
      <c r="F47" s="49"/>
      <c r="G47" s="49">
        <f>F31</f>
        <v>79470</v>
      </c>
      <c r="H47" s="61">
        <f>+G47/F48</f>
        <v>1</v>
      </c>
      <c r="I47" s="55"/>
      <c r="J47" s="55"/>
      <c r="K47" s="55"/>
    </row>
    <row r="48" spans="1:11">
      <c r="A48" s="41"/>
      <c r="B48" s="41"/>
      <c r="C48" s="55"/>
      <c r="D48" s="55" t="s">
        <v>21</v>
      </c>
      <c r="E48" s="55"/>
      <c r="F48" s="308">
        <f>SUM(F46:G47)</f>
        <v>79470</v>
      </c>
      <c r="G48" s="308"/>
      <c r="H48" s="65">
        <f>SUM(H46:H47)</f>
        <v>1</v>
      </c>
      <c r="I48" s="55"/>
      <c r="J48" s="55"/>
      <c r="K48" s="55"/>
    </row>
    <row r="49" spans="1:11">
      <c r="A49" s="41"/>
      <c r="B49" s="41"/>
      <c r="C49" s="55"/>
      <c r="D49" s="55"/>
      <c r="E49" s="55"/>
      <c r="F49" s="88"/>
      <c r="G49" s="88"/>
      <c r="H49" s="89"/>
      <c r="I49" s="55"/>
      <c r="J49" s="55"/>
      <c r="K49" s="55"/>
    </row>
    <row r="50" spans="1:11">
      <c r="A50" s="41"/>
      <c r="B50" s="41"/>
      <c r="C50" s="55"/>
      <c r="D50" s="55"/>
      <c r="E50" s="55"/>
      <c r="F50" s="55"/>
      <c r="G50" s="55"/>
      <c r="H50" s="71"/>
      <c r="I50" s="55"/>
      <c r="J50" s="55"/>
      <c r="K50" s="55"/>
    </row>
    <row r="51" spans="1:11">
      <c r="A51" s="41"/>
      <c r="B51" s="41"/>
      <c r="C51" s="55"/>
      <c r="D51" s="55"/>
      <c r="E51" s="55"/>
      <c r="F51" s="55"/>
      <c r="G51" s="55"/>
      <c r="H51" s="126"/>
      <c r="I51" s="55"/>
      <c r="J51" s="55"/>
      <c r="K51" s="55"/>
    </row>
    <row r="52" spans="1:11">
      <c r="A52" s="41"/>
      <c r="B52" s="41"/>
      <c r="C52" s="55"/>
      <c r="D52" s="54"/>
      <c r="E52" s="107"/>
      <c r="F52" s="55"/>
      <c r="G52" s="55"/>
      <c r="H52" s="55"/>
      <c r="I52" s="55"/>
      <c r="J52" s="55"/>
      <c r="K52" s="55"/>
    </row>
    <row r="53" spans="1:11">
      <c r="A53" s="41"/>
      <c r="B53" s="41"/>
      <c r="C53" s="55"/>
      <c r="D53" s="55"/>
      <c r="E53" s="309" t="s">
        <v>24</v>
      </c>
      <c r="F53" s="309"/>
      <c r="G53" s="309"/>
      <c r="H53" s="309"/>
      <c r="I53" s="55"/>
      <c r="J53" s="55"/>
      <c r="K53" s="55"/>
    </row>
    <row r="54" spans="1:11">
      <c r="A54" s="41"/>
      <c r="B54" s="41"/>
      <c r="C54" s="55"/>
      <c r="D54" s="108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109" t="s">
        <v>25</v>
      </c>
      <c r="E55" s="336" t="s">
        <v>26</v>
      </c>
      <c r="F55" s="337"/>
      <c r="G55" s="336" t="s">
        <v>27</v>
      </c>
      <c r="H55" s="337"/>
      <c r="I55" s="55"/>
      <c r="J55" s="55"/>
      <c r="K55" s="55"/>
    </row>
    <row r="56" spans="1:11">
      <c r="A56" s="55"/>
      <c r="B56" s="55"/>
      <c r="C56" s="55"/>
      <c r="D56" s="110" t="s">
        <v>28</v>
      </c>
      <c r="E56" s="118" t="s">
        <v>29</v>
      </c>
      <c r="F56" s="118" t="s">
        <v>30</v>
      </c>
      <c r="G56" s="118" t="s">
        <v>29</v>
      </c>
      <c r="H56" s="118" t="s">
        <v>30</v>
      </c>
      <c r="I56" s="55"/>
      <c r="J56" s="55"/>
      <c r="K56" s="55"/>
    </row>
    <row r="57" spans="1:11">
      <c r="A57" s="55"/>
      <c r="B57" s="55"/>
      <c r="C57" s="55"/>
      <c r="D57" s="90" t="s">
        <v>31</v>
      </c>
      <c r="E57" s="91">
        <f>Comparativos!$BA$13</f>
        <v>123.39</v>
      </c>
      <c r="F57" s="92">
        <f>Comparativos!$BB$13</f>
        <v>4</v>
      </c>
      <c r="G57" s="127">
        <f>ENE!$G$46</f>
        <v>417.87</v>
      </c>
      <c r="H57" s="92">
        <f>ENE!$H$55</f>
        <v>8</v>
      </c>
      <c r="I57" s="55"/>
      <c r="J57" s="55"/>
      <c r="K57" s="55"/>
    </row>
    <row r="58" spans="1:11">
      <c r="A58" s="55"/>
      <c r="B58" s="55"/>
      <c r="C58" s="55"/>
      <c r="D58" s="90" t="s">
        <v>33</v>
      </c>
      <c r="E58" s="121">
        <f>Comparativos!$BA$14</f>
        <v>176.79</v>
      </c>
      <c r="F58" s="113">
        <f>Comparativos!$BB$14</f>
        <v>6</v>
      </c>
      <c r="G58" s="100">
        <f>FEB!$G$48</f>
        <v>127.8</v>
      </c>
      <c r="H58" s="101">
        <f>FEB!$H$57</f>
        <v>2</v>
      </c>
      <c r="I58" s="55"/>
      <c r="J58" s="55"/>
      <c r="K58" s="55"/>
    </row>
    <row r="59" spans="1:11">
      <c r="A59" s="55"/>
      <c r="B59" s="55"/>
      <c r="C59" s="55"/>
      <c r="D59" s="90" t="s">
        <v>35</v>
      </c>
      <c r="E59" s="121">
        <f>Comparativos!$BA$15</f>
        <v>370.56</v>
      </c>
      <c r="F59" s="113">
        <f>Comparativos!$BB$15</f>
        <v>11</v>
      </c>
      <c r="G59" s="100">
        <f>MAR!$G$43</f>
        <v>78.06</v>
      </c>
      <c r="H59" s="101">
        <f>MAR!$H$51</f>
        <v>2</v>
      </c>
      <c r="I59" s="55"/>
      <c r="J59" s="55"/>
      <c r="K59" s="55"/>
    </row>
    <row r="60" spans="1:11">
      <c r="A60" s="55"/>
      <c r="B60" s="55"/>
      <c r="C60" s="55"/>
      <c r="D60" s="90" t="s">
        <v>37</v>
      </c>
      <c r="E60" s="121">
        <f>Comparativos!$BA$16</f>
        <v>201.99</v>
      </c>
      <c r="F60" s="113">
        <f>Comparativos!$BB$16</f>
        <v>8</v>
      </c>
      <c r="G60" s="100">
        <f>ABR!$G$41</f>
        <v>0</v>
      </c>
      <c r="H60" s="101">
        <f>ABR!$H$50</f>
        <v>0</v>
      </c>
      <c r="I60" s="55"/>
      <c r="J60" s="55"/>
      <c r="K60" s="55"/>
    </row>
    <row r="61" spans="1:11">
      <c r="A61" s="55"/>
      <c r="B61" s="55"/>
      <c r="C61" s="55"/>
      <c r="D61" s="90" t="s">
        <v>39</v>
      </c>
      <c r="E61" s="121">
        <f>Comparativos!$BA$17</f>
        <v>60.9</v>
      </c>
      <c r="F61" s="113">
        <f>Comparativos!$BB$17</f>
        <v>2</v>
      </c>
      <c r="G61" s="54">
        <f>MAY!$G$44</f>
        <v>0</v>
      </c>
      <c r="H61" s="113">
        <f>MAY!$H$52</f>
        <v>0</v>
      </c>
      <c r="I61" s="55"/>
      <c r="J61" s="55"/>
      <c r="K61" s="55"/>
    </row>
    <row r="62" spans="1:11">
      <c r="A62" s="55"/>
      <c r="B62" s="55"/>
      <c r="C62" s="55"/>
      <c r="D62" s="90" t="s">
        <v>41</v>
      </c>
      <c r="E62" s="121">
        <f>Comparativos!$BA$18</f>
        <v>0</v>
      </c>
      <c r="F62" s="113">
        <f>Comparativos!$BB$18</f>
        <v>0</v>
      </c>
      <c r="G62" s="54">
        <f>JUN!$G$33</f>
        <v>32.46</v>
      </c>
      <c r="H62" s="113">
        <f>JUN!$H$42</f>
        <v>1</v>
      </c>
      <c r="I62" s="55"/>
      <c r="J62" s="55"/>
      <c r="K62" s="55"/>
    </row>
    <row r="63" spans="1:11">
      <c r="A63" s="55"/>
      <c r="B63" s="55"/>
      <c r="C63" s="55"/>
      <c r="D63" s="94" t="s">
        <v>47</v>
      </c>
      <c r="E63" s="114">
        <f>Comparativos!$BA$20</f>
        <v>0</v>
      </c>
      <c r="F63" s="117">
        <f>Comparativos!$BB$20</f>
        <v>0</v>
      </c>
      <c r="G63" s="116">
        <f>G33</f>
        <v>79.47</v>
      </c>
      <c r="H63" s="117">
        <f>H42</f>
        <v>1</v>
      </c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79">
        <f>SUM(E57:E64)</f>
        <v>933.63</v>
      </c>
      <c r="F65" s="80">
        <f>SUM(F57:F64)</f>
        <v>31</v>
      </c>
      <c r="G65" s="79">
        <f>SUM(G57:G63)</f>
        <v>735.66000000000008</v>
      </c>
      <c r="H65" s="80">
        <f>SUM(H57:H63)</f>
        <v>14</v>
      </c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1">
      <c r="A77" s="55"/>
      <c r="B77" s="55"/>
      <c r="C77" s="55"/>
      <c r="D77" s="55"/>
      <c r="E77" s="55"/>
      <c r="F77" s="55"/>
      <c r="G77" s="55"/>
      <c r="H77" s="54"/>
      <c r="I77" s="55"/>
      <c r="J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</row>
    <row r="79" spans="1:11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144" spans="3:3">
      <c r="C144" s="105">
        <v>9142.18</v>
      </c>
    </row>
  </sheetData>
  <mergeCells count="82">
    <mergeCell ref="E55:F55"/>
    <mergeCell ref="G55:H55"/>
    <mergeCell ref="F21:G21"/>
    <mergeCell ref="H21:J21"/>
    <mergeCell ref="D33:E33"/>
    <mergeCell ref="D24:E24"/>
    <mergeCell ref="F24:G24"/>
    <mergeCell ref="H24:J24"/>
    <mergeCell ref="D22:E22"/>
    <mergeCell ref="H23:J23"/>
    <mergeCell ref="H28:J28"/>
    <mergeCell ref="E36:F36"/>
    <mergeCell ref="H29:J29"/>
    <mergeCell ref="F31:G31"/>
    <mergeCell ref="C37:D37"/>
    <mergeCell ref="D28:E28"/>
    <mergeCell ref="D10:E10"/>
    <mergeCell ref="F10:G10"/>
    <mergeCell ref="H10:J10"/>
    <mergeCell ref="D15:E15"/>
    <mergeCell ref="F15:G15"/>
    <mergeCell ref="H15:J15"/>
    <mergeCell ref="D13:E13"/>
    <mergeCell ref="F13:G13"/>
    <mergeCell ref="F11:G11"/>
    <mergeCell ref="D11:E11"/>
    <mergeCell ref="D12:E12"/>
    <mergeCell ref="F12:G12"/>
    <mergeCell ref="D20:E20"/>
    <mergeCell ref="F20:G20"/>
    <mergeCell ref="H20:J20"/>
    <mergeCell ref="H16:J16"/>
    <mergeCell ref="D14:E14"/>
    <mergeCell ref="F14:G14"/>
    <mergeCell ref="D16:E16"/>
    <mergeCell ref="F16:G16"/>
    <mergeCell ref="F28:G28"/>
    <mergeCell ref="E37:F37"/>
    <mergeCell ref="C47:E47"/>
    <mergeCell ref="C40:D40"/>
    <mergeCell ref="E40:F40"/>
    <mergeCell ref="C39:D39"/>
    <mergeCell ref="C38:D38"/>
    <mergeCell ref="E38:F38"/>
    <mergeCell ref="E39:F39"/>
    <mergeCell ref="C36:D36"/>
    <mergeCell ref="D29:E29"/>
    <mergeCell ref="F29:G29"/>
    <mergeCell ref="E53:H53"/>
    <mergeCell ref="C41:D41"/>
    <mergeCell ref="E41:F41"/>
    <mergeCell ref="E42:F42"/>
    <mergeCell ref="C45:E45"/>
    <mergeCell ref="F45:G45"/>
    <mergeCell ref="C46:E46"/>
    <mergeCell ref="F48:G48"/>
    <mergeCell ref="D27:E27"/>
    <mergeCell ref="F27:G27"/>
    <mergeCell ref="H27:J27"/>
    <mergeCell ref="D21:E21"/>
    <mergeCell ref="F22:G22"/>
    <mergeCell ref="H22:J22"/>
    <mergeCell ref="D25:E25"/>
    <mergeCell ref="F25:G25"/>
    <mergeCell ref="H25:J25"/>
    <mergeCell ref="D23:E23"/>
    <mergeCell ref="E7:H7"/>
    <mergeCell ref="H11:J11"/>
    <mergeCell ref="D26:E26"/>
    <mergeCell ref="F26:G26"/>
    <mergeCell ref="H26:J26"/>
    <mergeCell ref="D17:E17"/>
    <mergeCell ref="F17:G17"/>
    <mergeCell ref="H17:J17"/>
    <mergeCell ref="D19:E19"/>
    <mergeCell ref="F19:G19"/>
    <mergeCell ref="H19:J19"/>
    <mergeCell ref="F23:G23"/>
    <mergeCell ref="H14:J14"/>
    <mergeCell ref="D18:E18"/>
    <mergeCell ref="F18:G18"/>
    <mergeCell ref="H18:J18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PATAGONIA NORTE S.A.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Fabiana Sar</dc:creator>
  <cp:keywords/>
  <dc:description/>
  <cp:lastModifiedBy>Fernando Alcarraz</cp:lastModifiedBy>
  <cp:revision/>
  <dcterms:created xsi:type="dcterms:W3CDTF">2000-02-12T15:57:40Z</dcterms:created>
  <dcterms:modified xsi:type="dcterms:W3CDTF">2025-01-01T14:36:53Z</dcterms:modified>
  <cp:category/>
  <cp:contentStatus/>
</cp:coreProperties>
</file>